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8975" windowHeight="11955"/>
  </bookViews>
  <sheets>
    <sheet name="cant-pin-pin" sheetId="1" r:id="rId1"/>
  </sheets>
  <calcPr calcId="125725"/>
</workbook>
</file>

<file path=xl/calcChain.xml><?xml version="1.0" encoding="utf-8"?>
<calcChain xmlns="http://schemas.openxmlformats.org/spreadsheetml/2006/main">
  <c r="AB50" i="1"/>
  <c r="F15"/>
  <c r="F16"/>
  <c r="B16"/>
  <c r="B15"/>
  <c r="B50" l="1"/>
  <c r="C49"/>
  <c r="C48"/>
  <c r="AC42" s="1"/>
  <c r="C47"/>
  <c r="C46"/>
  <c r="AC40" s="1"/>
  <c r="AC43"/>
  <c r="C45"/>
  <c r="AC39" s="1"/>
  <c r="C44"/>
  <c r="AC41"/>
  <c r="C42"/>
  <c r="AO46" s="1"/>
  <c r="C41"/>
  <c r="AC38"/>
  <c r="C40"/>
  <c r="AU36"/>
  <c r="AP36"/>
  <c r="AI46" l="1"/>
  <c r="AT37" s="1"/>
  <c r="AB41"/>
  <c r="AB39"/>
  <c r="AI36"/>
  <c r="AI37" s="1"/>
  <c r="AM36"/>
  <c r="AU37"/>
  <c r="D50" s="1"/>
  <c r="AV36"/>
  <c r="AW36" s="1"/>
  <c r="AW37" s="1"/>
  <c r="AX36"/>
  <c r="C50"/>
  <c r="AM37"/>
  <c r="AV37"/>
  <c r="AB40"/>
  <c r="C43"/>
  <c r="AL46"/>
  <c r="AP37"/>
  <c r="AB42"/>
  <c r="AI41"/>
  <c r="BZ40" s="1"/>
  <c r="AB44" l="1"/>
  <c r="AB43"/>
  <c r="AP41"/>
  <c r="DE40" s="1"/>
  <c r="CB43"/>
  <c r="CB40"/>
  <c r="F50"/>
  <c r="DG40"/>
  <c r="AM40"/>
  <c r="BY43"/>
  <c r="BZ43"/>
  <c r="DE43"/>
  <c r="AP39"/>
  <c r="E50"/>
  <c r="CA43"/>
  <c r="DF43"/>
  <c r="DF42"/>
  <c r="DF40"/>
  <c r="CA40"/>
  <c r="DF39"/>
  <c r="DF41" s="1"/>
  <c r="AY36"/>
  <c r="AX37"/>
  <c r="AI42"/>
  <c r="AI39"/>
  <c r="CB39" s="1"/>
  <c r="CB41" s="1"/>
  <c r="BY40"/>
  <c r="DD43"/>
  <c r="AM42"/>
  <c r="AM41" s="1"/>
  <c r="DD40" l="1"/>
  <c r="AP42"/>
  <c r="DG43"/>
  <c r="AU43"/>
  <c r="AU40"/>
  <c r="AT40"/>
  <c r="AT43"/>
  <c r="AY37"/>
  <c r="AZ36"/>
  <c r="DE39"/>
  <c r="DE41" s="1"/>
  <c r="DD39"/>
  <c r="DD41" s="1"/>
  <c r="AP40"/>
  <c r="CA39"/>
  <c r="CA41" s="1"/>
  <c r="DE42"/>
  <c r="DE44" s="1"/>
  <c r="DD42"/>
  <c r="DD44" s="1"/>
  <c r="DG42"/>
  <c r="DG44" s="1"/>
  <c r="AI43"/>
  <c r="BZ42"/>
  <c r="BZ44" s="1"/>
  <c r="BY42"/>
  <c r="BY44" s="1"/>
  <c r="AI40"/>
  <c r="AI44" s="1"/>
  <c r="AK39"/>
  <c r="BZ39"/>
  <c r="BZ41" s="1"/>
  <c r="BY39"/>
  <c r="BY41" s="1"/>
  <c r="G50"/>
  <c r="CC43"/>
  <c r="CC42"/>
  <c r="AX43"/>
  <c r="DH40"/>
  <c r="AX40"/>
  <c r="CC39"/>
  <c r="DH43"/>
  <c r="DH42"/>
  <c r="CC40"/>
  <c r="DH39"/>
  <c r="DH41" s="1"/>
  <c r="AM44"/>
  <c r="AM39"/>
  <c r="AV43"/>
  <c r="AV40"/>
  <c r="DF44"/>
  <c r="CA42"/>
  <c r="CA44" s="1"/>
  <c r="AW40"/>
  <c r="DG39"/>
  <c r="DG41" s="1"/>
  <c r="CB42"/>
  <c r="CB44" s="1"/>
  <c r="AW43"/>
  <c r="DH44" l="1"/>
  <c r="CC41"/>
  <c r="DI43"/>
  <c r="AY43"/>
  <c r="DI42"/>
  <c r="DI44" s="1"/>
  <c r="AY42"/>
  <c r="AY44" s="1"/>
  <c r="H50"/>
  <c r="CD40"/>
  <c r="DI39"/>
  <c r="AY39"/>
  <c r="CD43"/>
  <c r="CD42"/>
  <c r="DI40"/>
  <c r="AY40"/>
  <c r="CD39"/>
  <c r="AM43"/>
  <c r="AU42"/>
  <c r="AU44" s="1"/>
  <c r="D51" s="1"/>
  <c r="AU39"/>
  <c r="AU41" s="1"/>
  <c r="D52" s="1"/>
  <c r="AT42"/>
  <c r="AT44" s="1"/>
  <c r="C51" s="1"/>
  <c r="AT39"/>
  <c r="AT41" s="1"/>
  <c r="C52" s="1"/>
  <c r="AW42"/>
  <c r="AW44" s="1"/>
  <c r="F51" s="1"/>
  <c r="AV39"/>
  <c r="AV41" s="1"/>
  <c r="E52" s="1"/>
  <c r="AW39"/>
  <c r="AW41" s="1"/>
  <c r="F52" s="1"/>
  <c r="AV42"/>
  <c r="AV44" s="1"/>
  <c r="E51" s="1"/>
  <c r="BA36"/>
  <c r="AZ37"/>
  <c r="AX39"/>
  <c r="AX41" s="1"/>
  <c r="G52" s="1"/>
  <c r="AX42"/>
  <c r="AX44" s="1"/>
  <c r="CC44"/>
  <c r="CD41" l="1"/>
  <c r="CD44"/>
  <c r="BA37"/>
  <c r="BB36"/>
  <c r="AY41"/>
  <c r="H51"/>
  <c r="I50"/>
  <c r="CE43"/>
  <c r="CE42"/>
  <c r="DJ43"/>
  <c r="DJ42"/>
  <c r="DJ40"/>
  <c r="AZ40"/>
  <c r="CE39"/>
  <c r="AZ43"/>
  <c r="AZ42"/>
  <c r="CE40"/>
  <c r="DJ39"/>
  <c r="DJ41" s="1"/>
  <c r="AZ39"/>
  <c r="AZ41" s="1"/>
  <c r="G51"/>
  <c r="DI41"/>
  <c r="AZ44" l="1"/>
  <c r="CE41"/>
  <c r="I52" s="1"/>
  <c r="BC36"/>
  <c r="BB37"/>
  <c r="DJ44"/>
  <c r="I51" s="1"/>
  <c r="CE44"/>
  <c r="DK43"/>
  <c r="BA43"/>
  <c r="DK42"/>
  <c r="DK44" s="1"/>
  <c r="BA42"/>
  <c r="BA44" s="1"/>
  <c r="CF43"/>
  <c r="CF42"/>
  <c r="CF40"/>
  <c r="DK39"/>
  <c r="BA39"/>
  <c r="J50"/>
  <c r="DK40"/>
  <c r="BA40"/>
  <c r="CF39"/>
  <c r="CF41" s="1"/>
  <c r="H52"/>
  <c r="BA41" l="1"/>
  <c r="BC37"/>
  <c r="BD36"/>
  <c r="J52"/>
  <c r="DK41"/>
  <c r="CF44"/>
  <c r="J51" s="1"/>
  <c r="K50"/>
  <c r="CG43"/>
  <c r="CG42"/>
  <c r="BB43"/>
  <c r="BB42"/>
  <c r="DL40"/>
  <c r="BB40"/>
  <c r="CG39"/>
  <c r="DL43"/>
  <c r="DL42"/>
  <c r="CG40"/>
  <c r="DL39"/>
  <c r="DL41" s="1"/>
  <c r="BB39"/>
  <c r="BB41" s="1"/>
  <c r="DL44" l="1"/>
  <c r="BE36"/>
  <c r="BD37"/>
  <c r="BB44"/>
  <c r="CG44"/>
  <c r="DM43"/>
  <c r="BC43"/>
  <c r="DM42"/>
  <c r="DM44" s="1"/>
  <c r="BC42"/>
  <c r="BC44" s="1"/>
  <c r="L50"/>
  <c r="CH40"/>
  <c r="DM39"/>
  <c r="BC39"/>
  <c r="CH43"/>
  <c r="CH42"/>
  <c r="DM40"/>
  <c r="BC40"/>
  <c r="CH39"/>
  <c r="CG41"/>
  <c r="K52" s="1"/>
  <c r="CH41" l="1"/>
  <c r="BE37"/>
  <c r="BF36"/>
  <c r="CH44"/>
  <c r="BC41"/>
  <c r="L51"/>
  <c r="K51"/>
  <c r="M50"/>
  <c r="CI43"/>
  <c r="CI42"/>
  <c r="DN43"/>
  <c r="DN42"/>
  <c r="DN40"/>
  <c r="BD40"/>
  <c r="CI39"/>
  <c r="BD43"/>
  <c r="BD42"/>
  <c r="CI40"/>
  <c r="DN39"/>
  <c r="DN41" s="1"/>
  <c r="BD39"/>
  <c r="BD41" s="1"/>
  <c r="DM41"/>
  <c r="BD44" l="1"/>
  <c r="CI41"/>
  <c r="DO43"/>
  <c r="BE43"/>
  <c r="DO42"/>
  <c r="DO44" s="1"/>
  <c r="BE42"/>
  <c r="BE44" s="1"/>
  <c r="CJ43"/>
  <c r="CJ42"/>
  <c r="CJ40"/>
  <c r="DO39"/>
  <c r="BE39"/>
  <c r="N50"/>
  <c r="DO40"/>
  <c r="BE40"/>
  <c r="CJ39"/>
  <c r="CJ41" s="1"/>
  <c r="BG36"/>
  <c r="BF37"/>
  <c r="M52"/>
  <c r="DN44"/>
  <c r="CI44"/>
  <c r="L52"/>
  <c r="CJ44" l="1"/>
  <c r="M51"/>
  <c r="O50"/>
  <c r="CK43"/>
  <c r="CK42"/>
  <c r="BF43"/>
  <c r="BF42"/>
  <c r="DP40"/>
  <c r="BF40"/>
  <c r="CK39"/>
  <c r="DP43"/>
  <c r="DP42"/>
  <c r="CK40"/>
  <c r="DP39"/>
  <c r="DP41" s="1"/>
  <c r="BF39"/>
  <c r="BF41" s="1"/>
  <c r="BG37"/>
  <c r="BH36"/>
  <c r="DO41"/>
  <c r="N51"/>
  <c r="BE41"/>
  <c r="N52" s="1"/>
  <c r="DP44" l="1"/>
  <c r="CK41"/>
  <c r="O52" s="1"/>
  <c r="BI36"/>
  <c r="BH37"/>
  <c r="BF44"/>
  <c r="CK44"/>
  <c r="DQ43"/>
  <c r="BG43"/>
  <c r="DQ42"/>
  <c r="DQ44" s="1"/>
  <c r="BG42"/>
  <c r="BG44" s="1"/>
  <c r="P50"/>
  <c r="CL40"/>
  <c r="DQ39"/>
  <c r="BG39"/>
  <c r="CL43"/>
  <c r="CL42"/>
  <c r="DQ40"/>
  <c r="BG40"/>
  <c r="CL39"/>
  <c r="CL44" l="1"/>
  <c r="O51"/>
  <c r="BI37"/>
  <c r="BJ36"/>
  <c r="CL41"/>
  <c r="DQ41"/>
  <c r="Q50"/>
  <c r="CM43"/>
  <c r="CM42"/>
  <c r="DR43"/>
  <c r="DR42"/>
  <c r="DR40"/>
  <c r="BH40"/>
  <c r="CM39"/>
  <c r="BH43"/>
  <c r="BH42"/>
  <c r="CM40"/>
  <c r="DR39"/>
  <c r="DR41" s="1"/>
  <c r="BH39"/>
  <c r="BH41" s="1"/>
  <c r="BG41"/>
  <c r="P52" s="1"/>
  <c r="P51"/>
  <c r="BH44" l="1"/>
  <c r="CM41"/>
  <c r="DS43"/>
  <c r="BI43"/>
  <c r="DS42"/>
  <c r="DS44" s="1"/>
  <c r="BI42"/>
  <c r="BI44" s="1"/>
  <c r="CN43"/>
  <c r="CN42"/>
  <c r="CN40"/>
  <c r="DS39"/>
  <c r="BI39"/>
  <c r="R50"/>
  <c r="DS40"/>
  <c r="BI40"/>
  <c r="CN39"/>
  <c r="CN41" s="1"/>
  <c r="BK36"/>
  <c r="BJ37"/>
  <c r="Q52"/>
  <c r="DR44"/>
  <c r="CM44"/>
  <c r="Q51" l="1"/>
  <c r="CN44"/>
  <c r="S50"/>
  <c r="CO43"/>
  <c r="CO42"/>
  <c r="CO44" s="1"/>
  <c r="BJ43"/>
  <c r="BJ42"/>
  <c r="BJ44" s="1"/>
  <c r="DT40"/>
  <c r="BJ40"/>
  <c r="CO39"/>
  <c r="DT43"/>
  <c r="DT42"/>
  <c r="CO40"/>
  <c r="DT39"/>
  <c r="DT41" s="1"/>
  <c r="BJ39"/>
  <c r="BJ41" s="1"/>
  <c r="DS41"/>
  <c r="R51"/>
  <c r="BK37"/>
  <c r="BL36"/>
  <c r="BI41"/>
  <c r="R52" s="1"/>
  <c r="DT44" l="1"/>
  <c r="DU43"/>
  <c r="BK43"/>
  <c r="DU42"/>
  <c r="DU44" s="1"/>
  <c r="BK42"/>
  <c r="BK44" s="1"/>
  <c r="T50"/>
  <c r="CP40"/>
  <c r="DU39"/>
  <c r="BK39"/>
  <c r="CP43"/>
  <c r="CP42"/>
  <c r="DU40"/>
  <c r="BK40"/>
  <c r="CP39"/>
  <c r="CP41" s="1"/>
  <c r="S51"/>
  <c r="BM36"/>
  <c r="BL37"/>
  <c r="CO41"/>
  <c r="S52" s="1"/>
  <c r="CP44" l="1"/>
  <c r="BK41"/>
  <c r="T51"/>
  <c r="U50"/>
  <c r="CQ43"/>
  <c r="CQ42"/>
  <c r="DV43"/>
  <c r="DV42"/>
  <c r="DV40"/>
  <c r="BL40"/>
  <c r="CQ39"/>
  <c r="BL43"/>
  <c r="BL42"/>
  <c r="BL44" s="1"/>
  <c r="CQ40"/>
  <c r="DV39"/>
  <c r="DV41" s="1"/>
  <c r="BL39"/>
  <c r="BL41" s="1"/>
  <c r="BM37"/>
  <c r="BN36"/>
  <c r="DU41"/>
  <c r="DW43" l="1"/>
  <c r="BM43"/>
  <c r="DW42"/>
  <c r="BM42"/>
  <c r="BM44" s="1"/>
  <c r="CR43"/>
  <c r="CR42"/>
  <c r="CR40"/>
  <c r="DW39"/>
  <c r="BM39"/>
  <c r="BM41" s="1"/>
  <c r="V50"/>
  <c r="DW40"/>
  <c r="BM40"/>
  <c r="CR39"/>
  <c r="CR41" s="1"/>
  <c r="CQ41"/>
  <c r="BO36"/>
  <c r="BN37"/>
  <c r="U52"/>
  <c r="DV44"/>
  <c r="CQ44"/>
  <c r="T52"/>
  <c r="DW44" l="1"/>
  <c r="U51"/>
  <c r="BO37"/>
  <c r="BP36"/>
  <c r="W50"/>
  <c r="CS43"/>
  <c r="CS42"/>
  <c r="BN43"/>
  <c r="BN42"/>
  <c r="DX40"/>
  <c r="BN40"/>
  <c r="CS39"/>
  <c r="DX43"/>
  <c r="DX42"/>
  <c r="CS40"/>
  <c r="DX39"/>
  <c r="DX41" s="1"/>
  <c r="BN39"/>
  <c r="BN41" s="1"/>
  <c r="DW41"/>
  <c r="V52" s="1"/>
  <c r="CR44"/>
  <c r="V51" s="1"/>
  <c r="BN44" l="1"/>
  <c r="CS44"/>
  <c r="DY43"/>
  <c r="BO43"/>
  <c r="DY42"/>
  <c r="DY44" s="1"/>
  <c r="BO42"/>
  <c r="BO44" s="1"/>
  <c r="X50"/>
  <c r="CT40"/>
  <c r="DY39"/>
  <c r="BO39"/>
  <c r="CT43"/>
  <c r="CT42"/>
  <c r="DY40"/>
  <c r="BO40"/>
  <c r="CT39"/>
  <c r="BQ36"/>
  <c r="BP37"/>
  <c r="DX44"/>
  <c r="W51" s="1"/>
  <c r="CS41"/>
  <c r="W52" s="1"/>
  <c r="CT44" l="1"/>
  <c r="X51" s="1"/>
  <c r="CT41"/>
  <c r="BO41"/>
  <c r="Y50"/>
  <c r="CU43"/>
  <c r="CU42"/>
  <c r="DZ43"/>
  <c r="DZ42"/>
  <c r="DZ40"/>
  <c r="BP40"/>
  <c r="CU39"/>
  <c r="BP43"/>
  <c r="BP42"/>
  <c r="CU40"/>
  <c r="DZ39"/>
  <c r="DZ41" s="1"/>
  <c r="BP39"/>
  <c r="BP41" s="1"/>
  <c r="BQ37"/>
  <c r="BR36"/>
  <c r="BR37" s="1"/>
  <c r="DY41"/>
  <c r="DZ44" l="1"/>
  <c r="CU44"/>
  <c r="EA43"/>
  <c r="BQ43"/>
  <c r="EA42"/>
  <c r="EA44" s="1"/>
  <c r="BQ42"/>
  <c r="BQ44" s="1"/>
  <c r="CV43"/>
  <c r="CV42"/>
  <c r="CV40"/>
  <c r="EA39"/>
  <c r="BQ39"/>
  <c r="Z50"/>
  <c r="EA40"/>
  <c r="BQ40"/>
  <c r="CV39"/>
  <c r="CV41" s="1"/>
  <c r="BP44"/>
  <c r="Y51" s="1"/>
  <c r="CU41"/>
  <c r="AA50"/>
  <c r="CW43"/>
  <c r="CW42"/>
  <c r="BR43"/>
  <c r="BR42"/>
  <c r="EB40"/>
  <c r="BR40"/>
  <c r="CW39"/>
  <c r="EB43"/>
  <c r="EB42"/>
  <c r="CW40"/>
  <c r="EB39"/>
  <c r="EB41" s="1"/>
  <c r="BR39"/>
  <c r="BR41" s="1"/>
  <c r="Y52"/>
  <c r="X52"/>
  <c r="EB44" l="1"/>
  <c r="CV44"/>
  <c r="Z51" s="1"/>
  <c r="CW41"/>
  <c r="AA52" s="1"/>
  <c r="BR44"/>
  <c r="CW44"/>
  <c r="EA41"/>
  <c r="BQ41"/>
  <c r="Z52" s="1"/>
  <c r="AA51" l="1"/>
</calcChain>
</file>

<file path=xl/sharedStrings.xml><?xml version="1.0" encoding="utf-8"?>
<sst xmlns="http://schemas.openxmlformats.org/spreadsheetml/2006/main" count="99" uniqueCount="64">
  <si>
    <t>Units</t>
  </si>
  <si>
    <t>kN, m</t>
  </si>
  <si>
    <t>a=</t>
  </si>
  <si>
    <t>Mmax=</t>
  </si>
  <si>
    <t>kNm</t>
  </si>
  <si>
    <t>Qmax=</t>
  </si>
  <si>
    <t>kN</t>
  </si>
  <si>
    <t>b=</t>
  </si>
  <si>
    <t>Mmin=</t>
  </si>
  <si>
    <t>Qmin=</t>
  </si>
  <si>
    <t>c=</t>
  </si>
  <si>
    <t>Simply supported beam with trapezoidal loading</t>
  </si>
  <si>
    <t>A=Top</t>
  </si>
  <si>
    <t>Loading</t>
  </si>
  <si>
    <t>wc</t>
  </si>
  <si>
    <t>counter</t>
  </si>
  <si>
    <t>B=Bottom</t>
  </si>
  <si>
    <t>tany</t>
  </si>
  <si>
    <t>x</t>
  </si>
  <si>
    <t>a</t>
  </si>
  <si>
    <t>m</t>
  </si>
  <si>
    <t>c</t>
  </si>
  <si>
    <r>
      <t>R</t>
    </r>
    <r>
      <rPr>
        <vertAlign val="subscript"/>
        <sz val="11"/>
        <color indexed="8"/>
        <rFont val="Calibri"/>
        <family val="2"/>
        <charset val="161"/>
      </rPr>
      <t>1</t>
    </r>
  </si>
  <si>
    <r>
      <t>x</t>
    </r>
    <r>
      <rPr>
        <vertAlign val="subscript"/>
        <sz val="11"/>
        <color indexed="8"/>
        <rFont val="Calibri"/>
        <family val="2"/>
        <charset val="161"/>
      </rPr>
      <t>max,M</t>
    </r>
  </si>
  <si>
    <t>w1-w2</t>
  </si>
  <si>
    <t>Qx1</t>
  </si>
  <si>
    <t>w3-w4</t>
  </si>
  <si>
    <t>w5-w6</t>
  </si>
  <si>
    <t>b</t>
  </si>
  <si>
    <r>
      <t>R</t>
    </r>
    <r>
      <rPr>
        <vertAlign val="subscript"/>
        <sz val="11"/>
        <color indexed="8"/>
        <rFont val="Calibri"/>
        <family val="2"/>
        <charset val="161"/>
      </rPr>
      <t>2</t>
    </r>
    <r>
      <rPr>
        <sz val="11"/>
        <color theme="1"/>
        <rFont val="Calibri"/>
        <family val="2"/>
        <charset val="161"/>
        <scheme val="minor"/>
      </rPr>
      <t/>
    </r>
  </si>
  <si>
    <t>Qx2</t>
  </si>
  <si>
    <t>l</t>
  </si>
  <si>
    <r>
      <t>R</t>
    </r>
    <r>
      <rPr>
        <vertAlign val="subscript"/>
        <sz val="11"/>
        <color indexed="8"/>
        <rFont val="Calibri"/>
        <family val="2"/>
        <charset val="161"/>
      </rPr>
      <t>3</t>
    </r>
    <r>
      <rPr>
        <sz val="11"/>
        <color theme="1"/>
        <rFont val="Calibri"/>
        <family val="2"/>
        <charset val="161"/>
        <scheme val="minor"/>
      </rPr>
      <t/>
    </r>
  </si>
  <si>
    <t>Qx</t>
  </si>
  <si>
    <t>w1</t>
  </si>
  <si>
    <t>kN/m</t>
  </si>
  <si>
    <r>
      <t>R</t>
    </r>
    <r>
      <rPr>
        <vertAlign val="subscript"/>
        <sz val="11"/>
        <color indexed="8"/>
        <rFont val="Calibri"/>
        <family val="2"/>
        <charset val="161"/>
      </rPr>
      <t>4</t>
    </r>
    <r>
      <rPr>
        <sz val="11"/>
        <color theme="1"/>
        <rFont val="Calibri"/>
        <family val="2"/>
        <charset val="161"/>
        <scheme val="minor"/>
      </rPr>
      <t/>
    </r>
  </si>
  <si>
    <t>Mx1</t>
  </si>
  <si>
    <t>w2</t>
  </si>
  <si>
    <t>RA=R1+R3</t>
  </si>
  <si>
    <t>Mx2</t>
  </si>
  <si>
    <t>w3</t>
  </si>
  <si>
    <t>RB=R2+R4</t>
  </si>
  <si>
    <t>Mx(w1-w2)</t>
  </si>
  <si>
    <t>Mx(w3-w4)</t>
  </si>
  <si>
    <t>Mx(w5-w6)</t>
  </si>
  <si>
    <t>w4</t>
  </si>
  <si>
    <t>Number of intervals</t>
  </si>
  <si>
    <t>w5</t>
  </si>
  <si>
    <r>
      <t>ΔΧ</t>
    </r>
    <r>
      <rPr>
        <vertAlign val="subscript"/>
        <sz val="11"/>
        <color indexed="8"/>
        <rFont val="Calibri"/>
        <family val="2"/>
        <charset val="161"/>
      </rPr>
      <t>1</t>
    </r>
    <r>
      <rPr>
        <sz val="11"/>
        <color theme="1"/>
        <rFont val="Calibri"/>
        <family val="2"/>
        <charset val="161"/>
        <scheme val="minor"/>
      </rPr>
      <t>=</t>
    </r>
  </si>
  <si>
    <r>
      <t>ΔΧ</t>
    </r>
    <r>
      <rPr>
        <vertAlign val="subscript"/>
        <sz val="11"/>
        <color indexed="8"/>
        <rFont val="Calibri"/>
        <family val="2"/>
        <charset val="161"/>
      </rPr>
      <t>2</t>
    </r>
    <r>
      <rPr>
        <sz val="11"/>
        <color theme="1"/>
        <rFont val="Calibri"/>
        <family val="2"/>
        <charset val="161"/>
        <scheme val="minor"/>
      </rPr>
      <t>=</t>
    </r>
  </si>
  <si>
    <r>
      <t>ΔΧ</t>
    </r>
    <r>
      <rPr>
        <vertAlign val="subscript"/>
        <sz val="11"/>
        <color indexed="8"/>
        <rFont val="Calibri"/>
        <family val="2"/>
        <charset val="161"/>
      </rPr>
      <t>3</t>
    </r>
    <r>
      <rPr>
        <sz val="11"/>
        <color theme="1"/>
        <rFont val="Calibri"/>
        <family val="2"/>
        <charset val="161"/>
        <scheme val="minor"/>
      </rPr>
      <t>=</t>
    </r>
  </si>
  <si>
    <t>w6</t>
  </si>
  <si>
    <t>Mx</t>
  </si>
  <si>
    <t>Pin-pin</t>
  </si>
  <si>
    <t xml:space="preserve">Bending moment and shear force diagram for the case of simply supported straight beam </t>
  </si>
  <si>
    <r>
      <t>w</t>
    </r>
    <r>
      <rPr>
        <b/>
        <vertAlign val="subscript"/>
        <sz val="11"/>
        <color theme="1"/>
        <rFont val="Calibri"/>
        <family val="2"/>
        <charset val="161"/>
        <scheme val="minor"/>
      </rPr>
      <t>4</t>
    </r>
    <r>
      <rPr>
        <b/>
        <sz val="11"/>
        <color theme="1"/>
        <rFont val="Calibri"/>
        <family val="2"/>
        <charset val="161"/>
        <scheme val="minor"/>
      </rPr>
      <t>=</t>
    </r>
  </si>
  <si>
    <r>
      <t>w</t>
    </r>
    <r>
      <rPr>
        <b/>
        <vertAlign val="subscript"/>
        <sz val="11"/>
        <color theme="1"/>
        <rFont val="Calibri"/>
        <family val="2"/>
        <charset val="161"/>
        <scheme val="minor"/>
      </rPr>
      <t>2</t>
    </r>
    <r>
      <rPr>
        <b/>
        <sz val="11"/>
        <color theme="1"/>
        <rFont val="Calibri"/>
        <family val="2"/>
        <charset val="161"/>
        <scheme val="minor"/>
      </rPr>
      <t>=</t>
    </r>
  </si>
  <si>
    <r>
      <t>w</t>
    </r>
    <r>
      <rPr>
        <b/>
        <vertAlign val="subscript"/>
        <sz val="11"/>
        <color theme="1"/>
        <rFont val="Calibri"/>
        <family val="2"/>
        <charset val="161"/>
        <scheme val="minor"/>
      </rPr>
      <t>6</t>
    </r>
    <r>
      <rPr>
        <b/>
        <sz val="11"/>
        <color theme="1"/>
        <rFont val="Calibri"/>
        <family val="2"/>
        <charset val="161"/>
        <scheme val="minor"/>
      </rPr>
      <t>=</t>
    </r>
  </si>
  <si>
    <r>
      <t>w</t>
    </r>
    <r>
      <rPr>
        <b/>
        <vertAlign val="subscript"/>
        <sz val="11"/>
        <rFont val="Calibri"/>
        <family val="2"/>
        <charset val="161"/>
        <scheme val="minor"/>
      </rPr>
      <t>1</t>
    </r>
    <r>
      <rPr>
        <b/>
        <sz val="11"/>
        <rFont val="Calibri"/>
        <family val="2"/>
        <charset val="161"/>
        <scheme val="minor"/>
      </rPr>
      <t>=</t>
    </r>
  </si>
  <si>
    <r>
      <t>w</t>
    </r>
    <r>
      <rPr>
        <b/>
        <vertAlign val="subscript"/>
        <sz val="11"/>
        <rFont val="Calibri"/>
        <family val="2"/>
        <charset val="161"/>
        <scheme val="minor"/>
      </rPr>
      <t>3</t>
    </r>
    <r>
      <rPr>
        <b/>
        <sz val="11"/>
        <rFont val="Calibri"/>
        <family val="2"/>
        <charset val="161"/>
        <scheme val="minor"/>
      </rPr>
      <t>=</t>
    </r>
  </si>
  <si>
    <r>
      <t>w</t>
    </r>
    <r>
      <rPr>
        <b/>
        <vertAlign val="subscript"/>
        <sz val="11"/>
        <rFont val="Calibri"/>
        <family val="2"/>
        <charset val="161"/>
        <scheme val="minor"/>
      </rPr>
      <t>5</t>
    </r>
    <r>
      <rPr>
        <b/>
        <sz val="11"/>
        <rFont val="Calibri"/>
        <family val="2"/>
        <charset val="161"/>
        <scheme val="minor"/>
      </rPr>
      <t>=</t>
    </r>
  </si>
  <si>
    <t>INPUT</t>
  </si>
  <si>
    <t>OUTPUT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</si>
</sst>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sz val="14"/>
      <color theme="1"/>
      <name val="Arial"/>
      <family val="2"/>
      <charset val="161"/>
    </font>
    <font>
      <b/>
      <sz val="14"/>
      <color theme="1"/>
      <name val="Times New Roman"/>
      <family val="1"/>
      <charset val="161"/>
    </font>
    <font>
      <vertAlign val="subscript"/>
      <sz val="11"/>
      <color indexed="8"/>
      <name val="Calibri"/>
      <family val="2"/>
      <charset val="161"/>
    </font>
    <font>
      <b/>
      <sz val="12"/>
      <color theme="1"/>
      <name val="Calibri"/>
      <family val="2"/>
      <charset val="161"/>
      <scheme val="minor"/>
    </font>
    <font>
      <sz val="10"/>
      <name val="Courier"/>
      <family val="1"/>
      <charset val="161"/>
    </font>
    <font>
      <b/>
      <sz val="11"/>
      <color theme="1"/>
      <name val="Calibri"/>
      <family val="2"/>
      <charset val="161"/>
      <scheme val="minor"/>
    </font>
    <font>
      <b/>
      <vertAlign val="subscript"/>
      <sz val="11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vertAlign val="subscript"/>
      <sz val="1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/>
  </cellStyleXfs>
  <cellXfs count="23">
    <xf numFmtId="0" fontId="0" fillId="0" borderId="0" xfId="0"/>
    <xf numFmtId="2" fontId="0" fillId="0" borderId="0" xfId="0" applyNumberFormat="1"/>
    <xf numFmtId="2" fontId="0" fillId="0" borderId="0" xfId="0" applyNumberFormat="1" applyAlignment="1">
      <alignment horizontal="right"/>
    </xf>
    <xf numFmtId="0" fontId="2" fillId="0" borderId="0" xfId="0" applyFont="1"/>
    <xf numFmtId="2" fontId="1" fillId="0" borderId="0" xfId="0" applyNumberFormat="1" applyFont="1"/>
    <xf numFmtId="2" fontId="3" fillId="0" borderId="0" xfId="0" applyNumberFormat="1" applyFont="1" applyAlignment="1">
      <alignment horizontal="left"/>
    </xf>
    <xf numFmtId="2" fontId="0" fillId="0" borderId="0" xfId="0" applyNumberFormat="1" applyAlignment="1">
      <alignment horizontal="left"/>
    </xf>
    <xf numFmtId="2" fontId="0" fillId="0" borderId="1" xfId="0" applyNumberFormat="1" applyBorder="1"/>
    <xf numFmtId="2" fontId="0" fillId="0" borderId="2" xfId="0" applyNumberFormat="1" applyBorder="1" applyAlignment="1">
      <alignment horizontal="right"/>
    </xf>
    <xf numFmtId="2" fontId="0" fillId="0" borderId="2" xfId="0" applyNumberFormat="1" applyBorder="1"/>
    <xf numFmtId="2" fontId="0" fillId="0" borderId="3" xfId="0" applyNumberFormat="1" applyBorder="1"/>
    <xf numFmtId="2" fontId="0" fillId="0" borderId="0" xfId="0" applyNumberFormat="1" applyBorder="1"/>
    <xf numFmtId="2" fontId="0" fillId="0" borderId="4" xfId="0" applyNumberFormat="1" applyBorder="1"/>
    <xf numFmtId="2" fontId="0" fillId="0" borderId="0" xfId="0" applyNumberFormat="1" applyBorder="1" applyAlignment="1">
      <alignment horizontal="right"/>
    </xf>
    <xf numFmtId="2" fontId="0" fillId="0" borderId="5" xfId="0" applyNumberFormat="1" applyBorder="1"/>
    <xf numFmtId="2" fontId="0" fillId="0" borderId="0" xfId="0" applyNumberFormat="1" applyAlignment="1"/>
    <xf numFmtId="2" fontId="5" fillId="0" borderId="4" xfId="0" applyNumberFormat="1" applyFont="1" applyBorder="1"/>
    <xf numFmtId="2" fontId="5" fillId="0" borderId="1" xfId="0" applyNumberFormat="1" applyFont="1" applyBorder="1"/>
    <xf numFmtId="2" fontId="0" fillId="0" borderId="6" xfId="0" applyNumberFormat="1" applyBorder="1"/>
    <xf numFmtId="2" fontId="0" fillId="0" borderId="7" xfId="0" applyNumberFormat="1" applyBorder="1" applyAlignment="1">
      <alignment horizontal="right"/>
    </xf>
    <xf numFmtId="2" fontId="0" fillId="0" borderId="7" xfId="0" applyNumberFormat="1" applyBorder="1"/>
    <xf numFmtId="2" fontId="0" fillId="0" borderId="8" xfId="0" applyNumberFormat="1" applyBorder="1"/>
    <xf numFmtId="2" fontId="9" fillId="0" borderId="0" xfId="0" applyNumberFormat="1" applyFont="1" applyAlignment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title>
      <c:tx>
        <c:rich>
          <a:bodyPr/>
          <a:lstStyle/>
          <a:p>
            <a:pPr>
              <a:defRPr/>
            </a:pPr>
            <a:r>
              <a:rPr lang="en-US"/>
              <a:t>Moment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strRef>
              <c:f>'cant-pin-pin'!$B$51</c:f>
              <c:strCache>
                <c:ptCount val="1"/>
                <c:pt idx="0">
                  <c:v>Mx</c:v>
                </c:pt>
              </c:strCache>
            </c:strRef>
          </c:tx>
          <c:marker>
            <c:symbol val="none"/>
          </c:marker>
          <c:xVal>
            <c:numRef>
              <c:f>'cant-pin-pin'!$C$50:$AA$50</c:f>
              <c:numCache>
                <c:formatCode>0.00</c:formatCode>
                <c:ptCount val="25"/>
                <c:pt idx="0">
                  <c:v>0</c:v>
                </c:pt>
                <c:pt idx="1">
                  <c:v>-1.2500000000000001E-2</c:v>
                </c:pt>
                <c:pt idx="2">
                  <c:v>-2.5000000000000001E-2</c:v>
                </c:pt>
                <c:pt idx="3">
                  <c:v>-3.7500000000000006E-2</c:v>
                </c:pt>
                <c:pt idx="4">
                  <c:v>-0.05</c:v>
                </c:pt>
                <c:pt idx="5">
                  <c:v>-6.25E-2</c:v>
                </c:pt>
                <c:pt idx="6">
                  <c:v>-7.5000000000000011E-2</c:v>
                </c:pt>
                <c:pt idx="7">
                  <c:v>-8.7500000000000008E-2</c:v>
                </c:pt>
                <c:pt idx="8">
                  <c:v>-0.1</c:v>
                </c:pt>
                <c:pt idx="9">
                  <c:v>-0.11250000000000002</c:v>
                </c:pt>
                <c:pt idx="10">
                  <c:v>-0.12500000000000003</c:v>
                </c:pt>
                <c:pt idx="11">
                  <c:v>-0.13750000000000001</c:v>
                </c:pt>
                <c:pt idx="12">
                  <c:v>-0.15000000000000002</c:v>
                </c:pt>
                <c:pt idx="13">
                  <c:v>-0.16250000000000003</c:v>
                </c:pt>
                <c:pt idx="14">
                  <c:v>-0.17500000000000004</c:v>
                </c:pt>
                <c:pt idx="15">
                  <c:v>-0.18750000000000003</c:v>
                </c:pt>
                <c:pt idx="16">
                  <c:v>-0.2</c:v>
                </c:pt>
                <c:pt idx="17">
                  <c:v>-0.2</c:v>
                </c:pt>
                <c:pt idx="18">
                  <c:v>-0.2</c:v>
                </c:pt>
                <c:pt idx="19">
                  <c:v>-0.2</c:v>
                </c:pt>
                <c:pt idx="20">
                  <c:v>-0.2</c:v>
                </c:pt>
                <c:pt idx="21">
                  <c:v>-0.2</c:v>
                </c:pt>
                <c:pt idx="22">
                  <c:v>-0.2</c:v>
                </c:pt>
                <c:pt idx="23">
                  <c:v>-0.2</c:v>
                </c:pt>
                <c:pt idx="24">
                  <c:v>-0.2</c:v>
                </c:pt>
              </c:numCache>
            </c:numRef>
          </c:xVal>
          <c:yVal>
            <c:numRef>
              <c:f>'cant-pin-pin'!$C$51:$AA$51</c:f>
              <c:numCache>
                <c:formatCode>0.00</c:formatCode>
                <c:ptCount val="25"/>
                <c:pt idx="0">
                  <c:v>0</c:v>
                </c:pt>
                <c:pt idx="1">
                  <c:v>-5.2838541666666669E-2</c:v>
                </c:pt>
                <c:pt idx="2">
                  <c:v>-9.8645833333333335E-2</c:v>
                </c:pt>
                <c:pt idx="3">
                  <c:v>-0.13742187500000003</c:v>
                </c:pt>
                <c:pt idx="4">
                  <c:v>-0.16916666666666669</c:v>
                </c:pt>
                <c:pt idx="5">
                  <c:v>-0.19388020833333333</c:v>
                </c:pt>
                <c:pt idx="6">
                  <c:v>-0.21156250000000004</c:v>
                </c:pt>
                <c:pt idx="7">
                  <c:v>-0.22221354166666668</c:v>
                </c:pt>
                <c:pt idx="8">
                  <c:v>-0.22583333333333333</c:v>
                </c:pt>
                <c:pt idx="9">
                  <c:v>-0.22241861979166666</c:v>
                </c:pt>
                <c:pt idx="10">
                  <c:v>-0.21195312499999996</c:v>
                </c:pt>
                <c:pt idx="11">
                  <c:v>-0.19441731770833331</c:v>
                </c:pt>
                <c:pt idx="12">
                  <c:v>-0.16979166666666662</c:v>
                </c:pt>
                <c:pt idx="13">
                  <c:v>-0.13805664062499995</c:v>
                </c:pt>
                <c:pt idx="14">
                  <c:v>-9.9192708333333213E-2</c:v>
                </c:pt>
                <c:pt idx="15">
                  <c:v>-5.318033854166658E-2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</c:ser>
        <c:ser>
          <c:idx val="1"/>
          <c:order val="1"/>
          <c:marker>
            <c:symbol val="none"/>
          </c:marker>
          <c:xVal>
            <c:numRef>
              <c:f>'cant-pin-pin'!$C$50:$AA$50</c:f>
              <c:numCache>
                <c:formatCode>0.00</c:formatCode>
                <c:ptCount val="25"/>
                <c:pt idx="0">
                  <c:v>0</c:v>
                </c:pt>
                <c:pt idx="1">
                  <c:v>-1.2500000000000001E-2</c:v>
                </c:pt>
                <c:pt idx="2">
                  <c:v>-2.5000000000000001E-2</c:v>
                </c:pt>
                <c:pt idx="3">
                  <c:v>-3.7500000000000006E-2</c:v>
                </c:pt>
                <c:pt idx="4">
                  <c:v>-0.05</c:v>
                </c:pt>
                <c:pt idx="5">
                  <c:v>-6.25E-2</c:v>
                </c:pt>
                <c:pt idx="6">
                  <c:v>-7.5000000000000011E-2</c:v>
                </c:pt>
                <c:pt idx="7">
                  <c:v>-8.7500000000000008E-2</c:v>
                </c:pt>
                <c:pt idx="8">
                  <c:v>-0.1</c:v>
                </c:pt>
                <c:pt idx="9">
                  <c:v>-0.11250000000000002</c:v>
                </c:pt>
                <c:pt idx="10">
                  <c:v>-0.12500000000000003</c:v>
                </c:pt>
                <c:pt idx="11">
                  <c:v>-0.13750000000000001</c:v>
                </c:pt>
                <c:pt idx="12">
                  <c:v>-0.15000000000000002</c:v>
                </c:pt>
                <c:pt idx="13">
                  <c:v>-0.16250000000000003</c:v>
                </c:pt>
                <c:pt idx="14">
                  <c:v>-0.17500000000000004</c:v>
                </c:pt>
                <c:pt idx="15">
                  <c:v>-0.18750000000000003</c:v>
                </c:pt>
                <c:pt idx="16">
                  <c:v>-0.2</c:v>
                </c:pt>
                <c:pt idx="17">
                  <c:v>-0.2</c:v>
                </c:pt>
                <c:pt idx="18">
                  <c:v>-0.2</c:v>
                </c:pt>
                <c:pt idx="19">
                  <c:v>-0.2</c:v>
                </c:pt>
                <c:pt idx="20">
                  <c:v>-0.2</c:v>
                </c:pt>
                <c:pt idx="21">
                  <c:v>-0.2</c:v>
                </c:pt>
                <c:pt idx="22">
                  <c:v>-0.2</c:v>
                </c:pt>
                <c:pt idx="23">
                  <c:v>-0.2</c:v>
                </c:pt>
                <c:pt idx="24">
                  <c:v>-0.2</c:v>
                </c:pt>
              </c:numCache>
            </c:numRef>
          </c:xVal>
          <c:yVal>
            <c:numRef>
              <c:f>'cant-pin-pin'!$C$53:$AA$53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General">
                  <c:v>0</c:v>
                </c:pt>
              </c:numCache>
            </c:numRef>
          </c:yVal>
          <c:smooth val="1"/>
        </c:ser>
        <c:axId val="70569984"/>
        <c:axId val="70571520"/>
      </c:scatterChart>
      <c:valAx>
        <c:axId val="70569984"/>
        <c:scaling>
          <c:orientation val="minMax"/>
        </c:scaling>
        <c:axPos val="b"/>
        <c:numFmt formatCode="0.00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l-GR"/>
          </a:p>
        </c:txPr>
        <c:crossAx val="70571520"/>
        <c:crosses val="autoZero"/>
        <c:crossBetween val="midCat"/>
      </c:valAx>
      <c:valAx>
        <c:axId val="70571520"/>
        <c:scaling>
          <c:orientation val="minMax"/>
        </c:scaling>
        <c:axPos val="l"/>
        <c:majorGridlines/>
        <c:numFmt formatCode="0.00" sourceLinked="1"/>
        <c:tickLblPos val="nextTo"/>
        <c:crossAx val="70569984"/>
        <c:crosses val="autoZero"/>
        <c:crossBetween val="midCat"/>
      </c:valAx>
    </c:plotArea>
    <c:plotVisOnly val="1"/>
    <c:dispBlanksAs val="gap"/>
  </c:chart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title/>
    <c:plotArea>
      <c:layout/>
      <c:scatterChart>
        <c:scatterStyle val="smoothMarker"/>
        <c:ser>
          <c:idx val="0"/>
          <c:order val="0"/>
          <c:tx>
            <c:strRef>
              <c:f>'cant-pin-pin'!$BX$44</c:f>
              <c:strCache>
                <c:ptCount val="1"/>
                <c:pt idx="0">
                  <c:v>Mx(w3-w4)</c:v>
                </c:pt>
              </c:strCache>
            </c:strRef>
          </c:tx>
          <c:marker>
            <c:symbol val="none"/>
          </c:marker>
          <c:xVal>
            <c:numRef>
              <c:f>'cant-pin-pin'!$BY$44:$CW$44</c:f>
              <c:numCache>
                <c:formatCode>0.00</c:formatCode>
                <c:ptCount val="25"/>
                <c:pt idx="0">
                  <c:v>0</c:v>
                </c:pt>
                <c:pt idx="1">
                  <c:v>1.4166666666666668E-2</c:v>
                </c:pt>
                <c:pt idx="2">
                  <c:v>2.8333333333333335E-2</c:v>
                </c:pt>
                <c:pt idx="3">
                  <c:v>4.2500000000000003E-2</c:v>
                </c:pt>
                <c:pt idx="4">
                  <c:v>5.6666666666666671E-2</c:v>
                </c:pt>
                <c:pt idx="5">
                  <c:v>7.0833333333333331E-2</c:v>
                </c:pt>
                <c:pt idx="6">
                  <c:v>8.5000000000000006E-2</c:v>
                </c:pt>
                <c:pt idx="7">
                  <c:v>9.9166666666666681E-2</c:v>
                </c:pt>
                <c:pt idx="8">
                  <c:v>0.11333333333333334</c:v>
                </c:pt>
                <c:pt idx="9">
                  <c:v>0.12398111979166668</c:v>
                </c:pt>
                <c:pt idx="10">
                  <c:v>0.12757812499999999</c:v>
                </c:pt>
                <c:pt idx="11">
                  <c:v>0.12410481770833333</c:v>
                </c:pt>
                <c:pt idx="12">
                  <c:v>0.11354166666666662</c:v>
                </c:pt>
                <c:pt idx="13">
                  <c:v>9.586914062499996E-2</c:v>
                </c:pt>
                <c:pt idx="14">
                  <c:v>7.1067708333333243E-2</c:v>
                </c:pt>
                <c:pt idx="15">
                  <c:v>3.9117838541666602E-2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'cant-pin-pin'!$AT$37:$BR$37</c:f>
              <c:numCache>
                <c:formatCode>0.00</c:formatCode>
                <c:ptCount val="25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3.7500000000000006E-2</c:v>
                </c:pt>
                <c:pt idx="4">
                  <c:v>0.05</c:v>
                </c:pt>
                <c:pt idx="5">
                  <c:v>6.25E-2</c:v>
                </c:pt>
                <c:pt idx="6">
                  <c:v>7.5000000000000011E-2</c:v>
                </c:pt>
                <c:pt idx="7">
                  <c:v>8.7500000000000008E-2</c:v>
                </c:pt>
                <c:pt idx="8">
                  <c:v>0.1</c:v>
                </c:pt>
                <c:pt idx="9">
                  <c:v>0.11250000000000002</c:v>
                </c:pt>
                <c:pt idx="10">
                  <c:v>0.12500000000000003</c:v>
                </c:pt>
                <c:pt idx="11">
                  <c:v>0.13750000000000001</c:v>
                </c:pt>
                <c:pt idx="12">
                  <c:v>0.15000000000000002</c:v>
                </c:pt>
                <c:pt idx="13">
                  <c:v>0.16250000000000003</c:v>
                </c:pt>
                <c:pt idx="14">
                  <c:v>0.17500000000000004</c:v>
                </c:pt>
                <c:pt idx="15">
                  <c:v>0.18750000000000003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</c:numCache>
            </c:numRef>
          </c:yVal>
          <c:smooth val="1"/>
        </c:ser>
        <c:axId val="70669440"/>
        <c:axId val="70670976"/>
      </c:scatterChart>
      <c:valAx>
        <c:axId val="70669440"/>
        <c:scaling>
          <c:orientation val="minMax"/>
        </c:scaling>
        <c:axPos val="b"/>
        <c:numFmt formatCode="0.00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l-GR"/>
          </a:p>
        </c:txPr>
        <c:crossAx val="70670976"/>
        <c:crosses val="autoZero"/>
        <c:crossBetween val="midCat"/>
      </c:valAx>
      <c:valAx>
        <c:axId val="70670976"/>
        <c:scaling>
          <c:orientation val="minMax"/>
        </c:scaling>
        <c:axPos val="l"/>
        <c:majorGridlines/>
        <c:numFmt formatCode="0.00" sourceLinked="1"/>
        <c:tickLblPos val="nextTo"/>
        <c:crossAx val="70669440"/>
        <c:crosses val="autoZero"/>
        <c:crossBetween val="midCat"/>
      </c:valAx>
    </c:plotArea>
    <c:plotVisOnly val="1"/>
    <c:dispBlanksAs val="gap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title>
      <c:layout/>
    </c:title>
    <c:plotArea>
      <c:layout/>
      <c:scatterChart>
        <c:scatterStyle val="smoothMarker"/>
        <c:ser>
          <c:idx val="0"/>
          <c:order val="0"/>
          <c:tx>
            <c:strRef>
              <c:f>'cant-pin-pin'!$AS$44</c:f>
              <c:strCache>
                <c:ptCount val="1"/>
                <c:pt idx="0">
                  <c:v>Mx(w1-w2)</c:v>
                </c:pt>
              </c:strCache>
            </c:strRef>
          </c:tx>
          <c:marker>
            <c:symbol val="none"/>
          </c:marker>
          <c:xVal>
            <c:numRef>
              <c:f>'cant-pin-pin'!$AT$44:$BR$44</c:f>
              <c:numCache>
                <c:formatCode>0.00</c:formatCode>
                <c:ptCount val="25"/>
                <c:pt idx="0">
                  <c:v>0</c:v>
                </c:pt>
                <c:pt idx="1">
                  <c:v>3.8671875000000001E-2</c:v>
                </c:pt>
                <c:pt idx="2">
                  <c:v>7.03125E-2</c:v>
                </c:pt>
                <c:pt idx="3">
                  <c:v>9.4921875000000017E-2</c:v>
                </c:pt>
                <c:pt idx="4">
                  <c:v>0.1125</c:v>
                </c:pt>
                <c:pt idx="5">
                  <c:v>0.123046875</c:v>
                </c:pt>
                <c:pt idx="6">
                  <c:v>0.12656250000000002</c:v>
                </c:pt>
                <c:pt idx="7">
                  <c:v>0.123046875</c:v>
                </c:pt>
                <c:pt idx="8">
                  <c:v>0.1125</c:v>
                </c:pt>
                <c:pt idx="9">
                  <c:v>9.8437499999999997E-2</c:v>
                </c:pt>
                <c:pt idx="10">
                  <c:v>8.4374999999999978E-2</c:v>
                </c:pt>
                <c:pt idx="11">
                  <c:v>7.03125E-2</c:v>
                </c:pt>
                <c:pt idx="12">
                  <c:v>5.6249999999999988E-2</c:v>
                </c:pt>
                <c:pt idx="13">
                  <c:v>4.2187499999999975E-2</c:v>
                </c:pt>
                <c:pt idx="14">
                  <c:v>2.8124999999999963E-2</c:v>
                </c:pt>
                <c:pt idx="15">
                  <c:v>1.4062499999999981E-2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'cant-pin-pin'!$AT$37:$BR$37</c:f>
              <c:numCache>
                <c:formatCode>0.00</c:formatCode>
                <c:ptCount val="25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3.7500000000000006E-2</c:v>
                </c:pt>
                <c:pt idx="4">
                  <c:v>0.05</c:v>
                </c:pt>
                <c:pt idx="5">
                  <c:v>6.25E-2</c:v>
                </c:pt>
                <c:pt idx="6">
                  <c:v>7.5000000000000011E-2</c:v>
                </c:pt>
                <c:pt idx="7">
                  <c:v>8.7500000000000008E-2</c:v>
                </c:pt>
                <c:pt idx="8">
                  <c:v>0.1</c:v>
                </c:pt>
                <c:pt idx="9">
                  <c:v>0.11250000000000002</c:v>
                </c:pt>
                <c:pt idx="10">
                  <c:v>0.12500000000000003</c:v>
                </c:pt>
                <c:pt idx="11">
                  <c:v>0.13750000000000001</c:v>
                </c:pt>
                <c:pt idx="12">
                  <c:v>0.15000000000000002</c:v>
                </c:pt>
                <c:pt idx="13">
                  <c:v>0.16250000000000003</c:v>
                </c:pt>
                <c:pt idx="14">
                  <c:v>0.17500000000000004</c:v>
                </c:pt>
                <c:pt idx="15">
                  <c:v>0.18750000000000003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</c:numCache>
            </c:numRef>
          </c:yVal>
          <c:smooth val="1"/>
        </c:ser>
        <c:axId val="70711168"/>
        <c:axId val="70712704"/>
      </c:scatterChart>
      <c:valAx>
        <c:axId val="70711168"/>
        <c:scaling>
          <c:orientation val="minMax"/>
        </c:scaling>
        <c:axPos val="b"/>
        <c:numFmt formatCode="0.00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l-GR"/>
          </a:p>
        </c:txPr>
        <c:crossAx val="70712704"/>
        <c:crosses val="autoZero"/>
        <c:crossBetween val="midCat"/>
      </c:valAx>
      <c:valAx>
        <c:axId val="70712704"/>
        <c:scaling>
          <c:orientation val="minMax"/>
        </c:scaling>
        <c:axPos val="l"/>
        <c:majorGridlines/>
        <c:numFmt formatCode="0.00" sourceLinked="1"/>
        <c:tickLblPos val="nextTo"/>
        <c:crossAx val="70711168"/>
        <c:crosses val="autoZero"/>
        <c:crossBetween val="midCat"/>
      </c:valAx>
    </c:plotArea>
    <c:plotVisOnly val="1"/>
    <c:dispBlanksAs val="gap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title/>
    <c:plotArea>
      <c:layout/>
      <c:scatterChart>
        <c:scatterStyle val="smoothMarker"/>
        <c:ser>
          <c:idx val="0"/>
          <c:order val="0"/>
          <c:tx>
            <c:strRef>
              <c:f>'cant-pin-pin'!$DC$44</c:f>
              <c:strCache>
                <c:ptCount val="1"/>
                <c:pt idx="0">
                  <c:v>Mx(w5-w6)</c:v>
                </c:pt>
              </c:strCache>
            </c:strRef>
          </c:tx>
          <c:marker>
            <c:symbol val="none"/>
          </c:marker>
          <c:xVal>
            <c:numRef>
              <c:f>'cant-pin-pin'!$DD$44:$EB$44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xVal>
          <c:yVal>
            <c:numRef>
              <c:f>'cant-pin-pin'!$AT$37:$BR$37</c:f>
              <c:numCache>
                <c:formatCode>0.00</c:formatCode>
                <c:ptCount val="25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3.7500000000000006E-2</c:v>
                </c:pt>
                <c:pt idx="4">
                  <c:v>0.05</c:v>
                </c:pt>
                <c:pt idx="5">
                  <c:v>6.25E-2</c:v>
                </c:pt>
                <c:pt idx="6">
                  <c:v>7.5000000000000011E-2</c:v>
                </c:pt>
                <c:pt idx="7">
                  <c:v>8.7500000000000008E-2</c:v>
                </c:pt>
                <c:pt idx="8">
                  <c:v>0.1</c:v>
                </c:pt>
                <c:pt idx="9">
                  <c:v>0.11250000000000002</c:v>
                </c:pt>
                <c:pt idx="10">
                  <c:v>0.12500000000000003</c:v>
                </c:pt>
                <c:pt idx="11">
                  <c:v>0.13750000000000001</c:v>
                </c:pt>
                <c:pt idx="12">
                  <c:v>0.15000000000000002</c:v>
                </c:pt>
                <c:pt idx="13">
                  <c:v>0.16250000000000003</c:v>
                </c:pt>
                <c:pt idx="14">
                  <c:v>0.17500000000000004</c:v>
                </c:pt>
                <c:pt idx="15">
                  <c:v>0.18750000000000003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</c:numCache>
            </c:numRef>
          </c:yVal>
          <c:smooth val="1"/>
        </c:ser>
        <c:axId val="71379584"/>
        <c:axId val="71389568"/>
      </c:scatterChart>
      <c:valAx>
        <c:axId val="71379584"/>
        <c:scaling>
          <c:orientation val="minMax"/>
        </c:scaling>
        <c:axPos val="b"/>
        <c:numFmt formatCode="0.00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l-GR"/>
          </a:p>
        </c:txPr>
        <c:crossAx val="71389568"/>
        <c:crosses val="autoZero"/>
        <c:crossBetween val="midCat"/>
      </c:valAx>
      <c:valAx>
        <c:axId val="71389568"/>
        <c:scaling>
          <c:orientation val="minMax"/>
        </c:scaling>
        <c:axPos val="l"/>
        <c:majorGridlines/>
        <c:numFmt formatCode="0.00" sourceLinked="1"/>
        <c:tickLblPos val="nextTo"/>
        <c:crossAx val="71379584"/>
        <c:crosses val="autoZero"/>
        <c:crossBetween val="midCat"/>
      </c:valAx>
    </c:plotArea>
    <c:plotVisOnly val="1"/>
    <c:dispBlanksAs val="gap"/>
  </c:chart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title>
      <c:layout/>
    </c:title>
    <c:plotArea>
      <c:layout>
        <c:manualLayout>
          <c:layoutTarget val="inner"/>
          <c:xMode val="edge"/>
          <c:yMode val="edge"/>
          <c:x val="0.21452849643794597"/>
          <c:y val="0.14209328485102254"/>
          <c:w val="0.6224657855268092"/>
          <c:h val="0.76442933005467573"/>
        </c:manualLayout>
      </c:layout>
      <c:scatterChart>
        <c:scatterStyle val="lineMarker"/>
        <c:ser>
          <c:idx val="0"/>
          <c:order val="0"/>
          <c:tx>
            <c:strRef>
              <c:f>'cant-pin-pin'!$AB$36</c:f>
              <c:strCache>
                <c:ptCount val="1"/>
                <c:pt idx="0">
                  <c:v>Loading</c:v>
                </c:pt>
              </c:strCache>
            </c:strRef>
          </c:tx>
          <c:marker>
            <c:symbol val="none"/>
          </c:marker>
          <c:xVal>
            <c:numRef>
              <c:f>'cant-pin-pin'!$AB$37:$AB$44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</c:numCache>
            </c:numRef>
          </c:xVal>
          <c:yVal>
            <c:numRef>
              <c:f>'cant-pin-pin'!$AC$37:$AC$44</c:f>
              <c:numCache>
                <c:formatCode>0.00</c:formatCode>
                <c:ptCount val="8"/>
                <c:pt idx="0">
                  <c:v>0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yVal>
        </c:ser>
        <c:axId val="71425408"/>
        <c:axId val="71427200"/>
      </c:scatterChart>
      <c:valAx>
        <c:axId val="71425408"/>
        <c:scaling>
          <c:orientation val="minMax"/>
        </c:scaling>
        <c:axPos val="b"/>
        <c:numFmt formatCode="0.00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l-GR"/>
          </a:p>
        </c:txPr>
        <c:crossAx val="71427200"/>
        <c:crosses val="autoZero"/>
        <c:crossBetween val="midCat"/>
      </c:valAx>
      <c:valAx>
        <c:axId val="71427200"/>
        <c:scaling>
          <c:orientation val="minMax"/>
        </c:scaling>
        <c:axPos val="l"/>
        <c:majorGridlines/>
        <c:numFmt formatCode="0.00" sourceLinked="1"/>
        <c:tickLblPos val="nextTo"/>
        <c:crossAx val="71425408"/>
        <c:crosses val="autoZero"/>
        <c:crossBetween val="midCat"/>
      </c:valAx>
    </c:plotArea>
    <c:plotVisOnly val="1"/>
    <c:dispBlanksAs val="gap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l-GR"/>
  <c:chart>
    <c:title>
      <c:tx>
        <c:rich>
          <a:bodyPr/>
          <a:lstStyle/>
          <a:p>
            <a:pPr>
              <a:defRPr/>
            </a:pPr>
            <a:r>
              <a:rPr lang="en-US"/>
              <a:t>Shear</a:t>
            </a:r>
          </a:p>
        </c:rich>
      </c:tx>
      <c:layout/>
    </c:title>
    <c:plotArea>
      <c:layout/>
      <c:scatterChart>
        <c:scatterStyle val="smoothMarker"/>
        <c:ser>
          <c:idx val="0"/>
          <c:order val="0"/>
          <c:tx>
            <c:strRef>
              <c:f>'cant-pin-pin'!$B$52</c:f>
              <c:strCache>
                <c:ptCount val="1"/>
                <c:pt idx="0">
                  <c:v>Qx</c:v>
                </c:pt>
              </c:strCache>
            </c:strRef>
          </c:tx>
          <c:marker>
            <c:symbol val="none"/>
          </c:marker>
          <c:xVal>
            <c:numRef>
              <c:f>'cant-pin-pin'!$C$50:$AB$50</c:f>
              <c:numCache>
                <c:formatCode>0.00</c:formatCode>
                <c:ptCount val="26"/>
                <c:pt idx="0">
                  <c:v>0</c:v>
                </c:pt>
                <c:pt idx="1">
                  <c:v>-1.2500000000000001E-2</c:v>
                </c:pt>
                <c:pt idx="2">
                  <c:v>-2.5000000000000001E-2</c:v>
                </c:pt>
                <c:pt idx="3">
                  <c:v>-3.7500000000000006E-2</c:v>
                </c:pt>
                <c:pt idx="4">
                  <c:v>-0.05</c:v>
                </c:pt>
                <c:pt idx="5">
                  <c:v>-6.25E-2</c:v>
                </c:pt>
                <c:pt idx="6">
                  <c:v>-7.5000000000000011E-2</c:v>
                </c:pt>
                <c:pt idx="7">
                  <c:v>-8.7500000000000008E-2</c:v>
                </c:pt>
                <c:pt idx="8">
                  <c:v>-0.1</c:v>
                </c:pt>
                <c:pt idx="9">
                  <c:v>-0.11250000000000002</c:v>
                </c:pt>
                <c:pt idx="10">
                  <c:v>-0.12500000000000003</c:v>
                </c:pt>
                <c:pt idx="11">
                  <c:v>-0.13750000000000001</c:v>
                </c:pt>
                <c:pt idx="12">
                  <c:v>-0.15000000000000002</c:v>
                </c:pt>
                <c:pt idx="13">
                  <c:v>-0.16250000000000003</c:v>
                </c:pt>
                <c:pt idx="14">
                  <c:v>-0.17500000000000004</c:v>
                </c:pt>
                <c:pt idx="15">
                  <c:v>-0.18750000000000003</c:v>
                </c:pt>
                <c:pt idx="16">
                  <c:v>-0.2</c:v>
                </c:pt>
                <c:pt idx="17">
                  <c:v>-0.2</c:v>
                </c:pt>
                <c:pt idx="18">
                  <c:v>-0.2</c:v>
                </c:pt>
                <c:pt idx="19">
                  <c:v>-0.2</c:v>
                </c:pt>
                <c:pt idx="20">
                  <c:v>-0.2</c:v>
                </c:pt>
                <c:pt idx="21">
                  <c:v>-0.2</c:v>
                </c:pt>
                <c:pt idx="22">
                  <c:v>-0.2</c:v>
                </c:pt>
                <c:pt idx="23">
                  <c:v>-0.2</c:v>
                </c:pt>
                <c:pt idx="24">
                  <c:v>-0.2</c:v>
                </c:pt>
                <c:pt idx="25">
                  <c:v>-0.2</c:v>
                </c:pt>
              </c:numCache>
            </c:numRef>
          </c:xVal>
          <c:yVal>
            <c:numRef>
              <c:f>'cant-pin-pin'!$C$52:$AB$52</c:f>
              <c:numCache>
                <c:formatCode>0.00</c:formatCode>
                <c:ptCount val="26"/>
                <c:pt idx="0">
                  <c:v>4.5083333333333329</c:v>
                </c:pt>
                <c:pt idx="1">
                  <c:v>3.9458333333333333</c:v>
                </c:pt>
                <c:pt idx="2">
                  <c:v>3.3833333333333333</c:v>
                </c:pt>
                <c:pt idx="3">
                  <c:v>2.8208333333333329</c:v>
                </c:pt>
                <c:pt idx="4">
                  <c:v>2.2583333333333333</c:v>
                </c:pt>
                <c:pt idx="5">
                  <c:v>1.6958333333333333</c:v>
                </c:pt>
                <c:pt idx="6">
                  <c:v>1.1333333333333329</c:v>
                </c:pt>
                <c:pt idx="7">
                  <c:v>0.57083333333333286</c:v>
                </c:pt>
                <c:pt idx="8">
                  <c:v>8.3333333333333037E-3</c:v>
                </c:pt>
                <c:pt idx="9">
                  <c:v>-0.5549479166666671</c:v>
                </c:pt>
                <c:pt idx="10">
                  <c:v>-1.1197916666666676</c:v>
                </c:pt>
                <c:pt idx="11">
                  <c:v>-1.686197916666667</c:v>
                </c:pt>
                <c:pt idx="12">
                  <c:v>-2.2541666666666673</c:v>
                </c:pt>
                <c:pt idx="13">
                  <c:v>-2.823697916666668</c:v>
                </c:pt>
                <c:pt idx="14">
                  <c:v>-3.3947916666666687</c:v>
                </c:pt>
                <c:pt idx="15">
                  <c:v>-3.9674479166666674</c:v>
                </c:pt>
                <c:pt idx="16">
                  <c:v>-4.5416666666666661</c:v>
                </c:pt>
                <c:pt idx="17">
                  <c:v>-4.5416666666666661</c:v>
                </c:pt>
                <c:pt idx="18">
                  <c:v>-4.5416666666666661</c:v>
                </c:pt>
                <c:pt idx="19">
                  <c:v>-4.5416666666666661</c:v>
                </c:pt>
                <c:pt idx="20">
                  <c:v>-4.5416666666666661</c:v>
                </c:pt>
                <c:pt idx="21">
                  <c:v>-4.5416666666666661</c:v>
                </c:pt>
                <c:pt idx="22">
                  <c:v>-4.5416666666666661</c:v>
                </c:pt>
                <c:pt idx="23">
                  <c:v>-4.5416666666666661</c:v>
                </c:pt>
                <c:pt idx="24">
                  <c:v>-4.5416666666666661</c:v>
                </c:pt>
                <c:pt idx="25" formatCode="General">
                  <c:v>0</c:v>
                </c:pt>
              </c:numCache>
            </c:numRef>
          </c:yVal>
          <c:smooth val="1"/>
        </c:ser>
        <c:ser>
          <c:idx val="1"/>
          <c:order val="1"/>
          <c:marker>
            <c:symbol val="none"/>
          </c:marker>
          <c:xVal>
            <c:numRef>
              <c:f>'cant-pin-pin'!$C$50:$AA$50</c:f>
              <c:numCache>
                <c:formatCode>0.00</c:formatCode>
                <c:ptCount val="25"/>
                <c:pt idx="0">
                  <c:v>0</c:v>
                </c:pt>
                <c:pt idx="1">
                  <c:v>-1.2500000000000001E-2</c:v>
                </c:pt>
                <c:pt idx="2">
                  <c:v>-2.5000000000000001E-2</c:v>
                </c:pt>
                <c:pt idx="3">
                  <c:v>-3.7500000000000006E-2</c:v>
                </c:pt>
                <c:pt idx="4">
                  <c:v>-0.05</c:v>
                </c:pt>
                <c:pt idx="5">
                  <c:v>-6.25E-2</c:v>
                </c:pt>
                <c:pt idx="6">
                  <c:v>-7.5000000000000011E-2</c:v>
                </c:pt>
                <c:pt idx="7">
                  <c:v>-8.7500000000000008E-2</c:v>
                </c:pt>
                <c:pt idx="8">
                  <c:v>-0.1</c:v>
                </c:pt>
                <c:pt idx="9">
                  <c:v>-0.11250000000000002</c:v>
                </c:pt>
                <c:pt idx="10">
                  <c:v>-0.12500000000000003</c:v>
                </c:pt>
                <c:pt idx="11">
                  <c:v>-0.13750000000000001</c:v>
                </c:pt>
                <c:pt idx="12">
                  <c:v>-0.15000000000000002</c:v>
                </c:pt>
                <c:pt idx="13">
                  <c:v>-0.16250000000000003</c:v>
                </c:pt>
                <c:pt idx="14">
                  <c:v>-0.17500000000000004</c:v>
                </c:pt>
                <c:pt idx="15">
                  <c:v>-0.18750000000000003</c:v>
                </c:pt>
                <c:pt idx="16">
                  <c:v>-0.2</c:v>
                </c:pt>
                <c:pt idx="17">
                  <c:v>-0.2</c:v>
                </c:pt>
                <c:pt idx="18">
                  <c:v>-0.2</c:v>
                </c:pt>
                <c:pt idx="19">
                  <c:v>-0.2</c:v>
                </c:pt>
                <c:pt idx="20">
                  <c:v>-0.2</c:v>
                </c:pt>
                <c:pt idx="21">
                  <c:v>-0.2</c:v>
                </c:pt>
                <c:pt idx="22">
                  <c:v>-0.2</c:v>
                </c:pt>
                <c:pt idx="23">
                  <c:v>-0.2</c:v>
                </c:pt>
                <c:pt idx="24">
                  <c:v>-0.2</c:v>
                </c:pt>
              </c:numCache>
            </c:numRef>
          </c:xVal>
          <c:yVal>
            <c:numRef>
              <c:f>'cant-pin-pin'!$C$53:$AA$53</c:f>
              <c:numCache>
                <c:formatCode>0.00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General">
                  <c:v>0</c:v>
                </c:pt>
              </c:numCache>
            </c:numRef>
          </c:yVal>
          <c:smooth val="1"/>
        </c:ser>
        <c:axId val="71459200"/>
        <c:axId val="71460736"/>
      </c:scatterChart>
      <c:valAx>
        <c:axId val="71459200"/>
        <c:scaling>
          <c:orientation val="minMax"/>
        </c:scaling>
        <c:axPos val="b"/>
        <c:numFmt formatCode="0.00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l-GR"/>
          </a:p>
        </c:txPr>
        <c:crossAx val="71460736"/>
        <c:crosses val="autoZero"/>
        <c:crossBetween val="midCat"/>
      </c:valAx>
      <c:valAx>
        <c:axId val="71460736"/>
        <c:scaling>
          <c:orientation val="minMax"/>
        </c:scaling>
        <c:axPos val="l"/>
        <c:majorGridlines/>
        <c:numFmt formatCode="0.00" sourceLinked="1"/>
        <c:tickLblPos val="nextTo"/>
        <c:crossAx val="71459200"/>
        <c:crosses val="autoZero"/>
        <c:crossBetween val="midCat"/>
      </c:valAx>
    </c:plotArea>
    <c:plotVisOnly val="1"/>
    <c:dispBlanksAs val="gap"/>
  </c:chart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1.emf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426243</xdr:colOff>
      <xdr:row>16</xdr:row>
      <xdr:rowOff>142874</xdr:rowOff>
    </xdr:from>
    <xdr:to>
      <xdr:col>11</xdr:col>
      <xdr:colOff>305868</xdr:colOff>
      <xdr:row>31</xdr:row>
      <xdr:rowOff>165374</xdr:rowOff>
    </xdr:to>
    <xdr:graphicFrame macro="">
      <xdr:nvGraphicFramePr>
        <xdr:cNvPr id="3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101</xdr:col>
      <xdr:colOff>76200</xdr:colOff>
      <xdr:row>38</xdr:row>
      <xdr:rowOff>9525</xdr:rowOff>
    </xdr:from>
    <xdr:to>
      <xdr:col>104</xdr:col>
      <xdr:colOff>361949</xdr:colOff>
      <xdr:row>47</xdr:row>
      <xdr:rowOff>142874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70</xdr:col>
      <xdr:colOff>57150</xdr:colOff>
      <xdr:row>35</xdr:row>
      <xdr:rowOff>152400</xdr:rowOff>
    </xdr:from>
    <xdr:to>
      <xdr:col>73</xdr:col>
      <xdr:colOff>152400</xdr:colOff>
      <xdr:row>45</xdr:row>
      <xdr:rowOff>66675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132</xdr:col>
      <xdr:colOff>114300</xdr:colOff>
      <xdr:row>37</xdr:row>
      <xdr:rowOff>28575</xdr:rowOff>
    </xdr:from>
    <xdr:to>
      <xdr:col>135</xdr:col>
      <xdr:colOff>495299</xdr:colOff>
      <xdr:row>46</xdr:row>
      <xdr:rowOff>47625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16</xdr:row>
      <xdr:rowOff>142875</xdr:rowOff>
    </xdr:from>
    <xdr:to>
      <xdr:col>5</xdr:col>
      <xdr:colOff>379687</xdr:colOff>
      <xdr:row>31</xdr:row>
      <xdr:rowOff>165375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404812</xdr:colOff>
      <xdr:row>16</xdr:row>
      <xdr:rowOff>142876</xdr:rowOff>
    </xdr:from>
    <xdr:to>
      <xdr:col>17</xdr:col>
      <xdr:colOff>284437</xdr:colOff>
      <xdr:row>31</xdr:row>
      <xdr:rowOff>165376</xdr:rowOff>
    </xdr:to>
    <xdr:graphicFrame macro="">
      <xdr:nvGraphicFramePr>
        <xdr:cNvPr id="8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8</xdr:col>
      <xdr:colOff>250033</xdr:colOff>
      <xdr:row>2</xdr:row>
      <xdr:rowOff>95250</xdr:rowOff>
    </xdr:from>
    <xdr:to>
      <xdr:col>16</xdr:col>
      <xdr:colOff>93731</xdr:colOff>
      <xdr:row>11</xdr:row>
      <xdr:rowOff>178594</xdr:rowOff>
    </xdr:to>
    <xdr:pic>
      <xdr:nvPicPr>
        <xdr:cNvPr id="102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 t="16087" b="13043"/>
        <a:stretch>
          <a:fillRect/>
        </a:stretch>
      </xdr:blipFill>
      <xdr:spPr bwMode="auto">
        <a:xfrm>
          <a:off x="4250533" y="511969"/>
          <a:ext cx="3844198" cy="1940719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273084</xdr:colOff>
      <xdr:row>37</xdr:row>
      <xdr:rowOff>23813</xdr:rowOff>
    </xdr:from>
    <xdr:to>
      <xdr:col>6</xdr:col>
      <xdr:colOff>456701</xdr:colOff>
      <xdr:row>48</xdr:row>
      <xdr:rowOff>70677</xdr:rowOff>
    </xdr:to>
    <xdr:pic>
      <xdr:nvPicPr>
        <xdr:cNvPr id="1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 t="16087" b="13043"/>
        <a:stretch>
          <a:fillRect/>
        </a:stretch>
      </xdr:blipFill>
      <xdr:spPr bwMode="auto">
        <a:xfrm rot="5400000">
          <a:off x="1692820" y="7093233"/>
          <a:ext cx="2344770" cy="1183742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B107"/>
  <sheetViews>
    <sheetView tabSelected="1" zoomScale="80" zoomScaleNormal="80" workbookViewId="0">
      <selection activeCell="E5" sqref="E5"/>
    </sheetView>
  </sheetViews>
  <sheetFormatPr defaultColWidth="7.42578125" defaultRowHeight="15"/>
  <cols>
    <col min="1" max="1" width="7.42578125" style="1" customWidth="1"/>
    <col min="2" max="2" width="7.42578125" style="2" customWidth="1"/>
    <col min="3" max="26" width="7.42578125" style="1" customWidth="1"/>
    <col min="77" max="78" width="8.28515625" bestFit="1" customWidth="1"/>
  </cols>
  <sheetData>
    <row r="1" spans="1:25">
      <c r="A1" s="1" t="s">
        <v>55</v>
      </c>
    </row>
    <row r="2" spans="1:25" ht="18">
      <c r="A2" s="3" t="s">
        <v>54</v>
      </c>
    </row>
    <row r="4" spans="1:25">
      <c r="A4" s="1" t="s">
        <v>0</v>
      </c>
      <c r="B4" s="2" t="s">
        <v>1</v>
      </c>
    </row>
    <row r="6" spans="1:25" ht="18">
      <c r="A6" s="3" t="s">
        <v>62</v>
      </c>
    </row>
    <row r="7" spans="1:25"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</row>
    <row r="8" spans="1:25" ht="18">
      <c r="A8" s="2" t="s">
        <v>2</v>
      </c>
      <c r="B8" s="4">
        <v>0.1</v>
      </c>
      <c r="D8" s="22" t="s">
        <v>59</v>
      </c>
      <c r="E8" s="4">
        <v>45</v>
      </c>
      <c r="G8" s="22" t="s">
        <v>57</v>
      </c>
      <c r="H8" s="4">
        <v>45</v>
      </c>
      <c r="I8"/>
      <c r="J8"/>
      <c r="K8"/>
      <c r="L8"/>
      <c r="M8"/>
      <c r="N8"/>
      <c r="O8"/>
      <c r="P8"/>
      <c r="Q8"/>
      <c r="R8"/>
      <c r="S8"/>
      <c r="T8"/>
    </row>
    <row r="9" spans="1:25" ht="18">
      <c r="A9" s="2" t="s">
        <v>7</v>
      </c>
      <c r="B9" s="4">
        <v>0.1</v>
      </c>
      <c r="D9" s="22" t="s">
        <v>60</v>
      </c>
      <c r="E9" s="4">
        <v>45</v>
      </c>
      <c r="G9" s="22" t="s">
        <v>56</v>
      </c>
      <c r="H9" s="4">
        <v>46</v>
      </c>
      <c r="K9"/>
      <c r="L9"/>
      <c r="M9"/>
      <c r="N9"/>
      <c r="O9"/>
      <c r="P9"/>
      <c r="Q9"/>
      <c r="Y9"/>
    </row>
    <row r="10" spans="1:25" ht="18">
      <c r="A10" s="2" t="s">
        <v>10</v>
      </c>
      <c r="B10" s="4">
        <v>0</v>
      </c>
      <c r="D10" s="22" t="s">
        <v>61</v>
      </c>
      <c r="E10" s="4">
        <v>0</v>
      </c>
      <c r="G10" s="22" t="s">
        <v>58</v>
      </c>
      <c r="H10" s="4">
        <v>0</v>
      </c>
      <c r="K10"/>
      <c r="L10"/>
      <c r="M10"/>
      <c r="N10"/>
      <c r="O10"/>
      <c r="P10"/>
      <c r="Q10"/>
      <c r="Y10"/>
    </row>
    <row r="11" spans="1:25">
      <c r="A11" s="2"/>
      <c r="B11" s="4"/>
      <c r="D11" s="2"/>
      <c r="E11" s="4"/>
      <c r="G11" s="2"/>
      <c r="H11" s="4"/>
      <c r="K11"/>
      <c r="L11"/>
      <c r="M11"/>
      <c r="N11"/>
      <c r="O11"/>
      <c r="P11"/>
      <c r="Q11"/>
      <c r="R11"/>
      <c r="S11"/>
      <c r="T11"/>
    </row>
    <row r="12" spans="1:25">
      <c r="K12"/>
      <c r="L12"/>
      <c r="M12"/>
      <c r="N12"/>
      <c r="O12"/>
      <c r="P12"/>
      <c r="Q12"/>
      <c r="R12"/>
      <c r="S12"/>
      <c r="T12"/>
    </row>
    <row r="13" spans="1:25" ht="18">
      <c r="A13" s="3" t="s">
        <v>63</v>
      </c>
      <c r="K13"/>
      <c r="L13"/>
      <c r="M13"/>
      <c r="N13"/>
      <c r="O13"/>
      <c r="P13"/>
      <c r="Q13"/>
      <c r="R13"/>
      <c r="S13"/>
      <c r="T13"/>
    </row>
    <row r="14" spans="1:25">
      <c r="K14"/>
      <c r="L14"/>
      <c r="M14"/>
      <c r="N14"/>
      <c r="O14"/>
      <c r="P14"/>
      <c r="Q14"/>
      <c r="R14"/>
      <c r="S14"/>
      <c r="T14"/>
    </row>
    <row r="15" spans="1:25">
      <c r="A15" t="s">
        <v>3</v>
      </c>
      <c r="B15" s="1">
        <f>MAX(C51:AA51)</f>
        <v>0</v>
      </c>
      <c r="C15" t="s">
        <v>4</v>
      </c>
      <c r="E15" t="s">
        <v>5</v>
      </c>
      <c r="F15" s="1">
        <f>MAX(C52:AA52)</f>
        <v>4.5083333333333329</v>
      </c>
      <c r="G15" t="s">
        <v>6</v>
      </c>
      <c r="K15"/>
      <c r="L15"/>
      <c r="M15"/>
      <c r="N15"/>
      <c r="O15"/>
      <c r="P15"/>
      <c r="Q15"/>
      <c r="R15"/>
      <c r="S15"/>
      <c r="T15"/>
    </row>
    <row r="16" spans="1:25">
      <c r="A16" t="s">
        <v>8</v>
      </c>
      <c r="B16" s="1">
        <f>MIN(C51:AA51)</f>
        <v>-0.22583333333333333</v>
      </c>
      <c r="C16" t="s">
        <v>4</v>
      </c>
      <c r="E16" t="s">
        <v>9</v>
      </c>
      <c r="F16" s="1">
        <f>MIN(C52:AA52)</f>
        <v>-4.5416666666666661</v>
      </c>
      <c r="G16" t="s">
        <v>6</v>
      </c>
      <c r="K16"/>
      <c r="L16"/>
      <c r="M16"/>
      <c r="N16"/>
      <c r="O16"/>
      <c r="P16"/>
      <c r="Q16"/>
      <c r="R16"/>
      <c r="S16"/>
      <c r="T16"/>
    </row>
    <row r="17" spans="1:20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35" spans="1:132" ht="15.75" thickBot="1"/>
    <row r="36" spans="1:132">
      <c r="AB36" t="s">
        <v>13</v>
      </c>
      <c r="AF36" s="1"/>
      <c r="AG36" s="1"/>
      <c r="AH36" s="2" t="s">
        <v>14</v>
      </c>
      <c r="AI36" s="1">
        <f>C47-C46</f>
        <v>1</v>
      </c>
      <c r="AJ36" s="1"/>
      <c r="AK36" s="1"/>
      <c r="AL36" s="1" t="s">
        <v>14</v>
      </c>
      <c r="AM36" s="1">
        <f>C45-C44</f>
        <v>0</v>
      </c>
      <c r="AN36" s="1"/>
      <c r="AO36" s="1" t="s">
        <v>14</v>
      </c>
      <c r="AP36" s="1">
        <f>C49-C48</f>
        <v>0</v>
      </c>
      <c r="AQ36" s="1"/>
      <c r="AR36" s="7"/>
      <c r="AS36" s="8" t="s">
        <v>15</v>
      </c>
      <c r="AT36" s="9">
        <v>0</v>
      </c>
      <c r="AU36" s="9">
        <f t="shared" ref="AU36:BR36" si="0">AT36+1</f>
        <v>1</v>
      </c>
      <c r="AV36" s="9">
        <f t="shared" si="0"/>
        <v>2</v>
      </c>
      <c r="AW36" s="9">
        <f t="shared" si="0"/>
        <v>3</v>
      </c>
      <c r="AX36" s="9">
        <f t="shared" si="0"/>
        <v>4</v>
      </c>
      <c r="AY36" s="9">
        <f t="shared" si="0"/>
        <v>5</v>
      </c>
      <c r="AZ36" s="9">
        <f t="shared" si="0"/>
        <v>6</v>
      </c>
      <c r="BA36" s="9">
        <f t="shared" si="0"/>
        <v>7</v>
      </c>
      <c r="BB36" s="9">
        <f t="shared" si="0"/>
        <v>8</v>
      </c>
      <c r="BC36" s="9">
        <f t="shared" si="0"/>
        <v>9</v>
      </c>
      <c r="BD36" s="9">
        <f t="shared" si="0"/>
        <v>10</v>
      </c>
      <c r="BE36" s="9">
        <f t="shared" si="0"/>
        <v>11</v>
      </c>
      <c r="BF36" s="9">
        <f t="shared" si="0"/>
        <v>12</v>
      </c>
      <c r="BG36" s="9">
        <f t="shared" si="0"/>
        <v>13</v>
      </c>
      <c r="BH36" s="9">
        <f t="shared" si="0"/>
        <v>14</v>
      </c>
      <c r="BI36" s="9">
        <f t="shared" si="0"/>
        <v>15</v>
      </c>
      <c r="BJ36" s="9">
        <f t="shared" si="0"/>
        <v>16</v>
      </c>
      <c r="BK36" s="9">
        <f t="shared" si="0"/>
        <v>17</v>
      </c>
      <c r="BL36" s="9">
        <f t="shared" si="0"/>
        <v>18</v>
      </c>
      <c r="BM36" s="9">
        <f t="shared" si="0"/>
        <v>19</v>
      </c>
      <c r="BN36" s="9">
        <f t="shared" si="0"/>
        <v>20</v>
      </c>
      <c r="BO36" s="9">
        <f t="shared" si="0"/>
        <v>21</v>
      </c>
      <c r="BP36" s="9">
        <f t="shared" si="0"/>
        <v>22</v>
      </c>
      <c r="BQ36" s="9">
        <f t="shared" si="0"/>
        <v>23</v>
      </c>
      <c r="BR36" s="10">
        <f t="shared" si="0"/>
        <v>24</v>
      </c>
      <c r="BS36" s="11"/>
      <c r="BT36" s="11"/>
      <c r="BU36" s="11"/>
      <c r="BV36" s="11"/>
    </row>
    <row r="37" spans="1:132" ht="18.75">
      <c r="A37" s="5" t="s">
        <v>11</v>
      </c>
      <c r="AB37" s="1">
        <v>0</v>
      </c>
      <c r="AC37" s="1">
        <v>0</v>
      </c>
      <c r="AF37" s="1"/>
      <c r="AG37" s="1"/>
      <c r="AH37" s="2" t="s">
        <v>17</v>
      </c>
      <c r="AI37" s="1">
        <f>IF(OR(AI36=0,C41=0),0,AI36/C41)</f>
        <v>10</v>
      </c>
      <c r="AJ37" s="1"/>
      <c r="AK37" s="1"/>
      <c r="AL37" s="1" t="s">
        <v>17</v>
      </c>
      <c r="AM37" s="1">
        <f>IF(OR(AM36=0,C40=0),0,AM36/C40)</f>
        <v>0</v>
      </c>
      <c r="AN37" s="1"/>
      <c r="AO37" s="1" t="s">
        <v>17</v>
      </c>
      <c r="AP37" s="1">
        <f>IF(OR(AP36=0,C42=0),0,AP36/C42)</f>
        <v>0</v>
      </c>
      <c r="AQ37" s="1"/>
      <c r="AR37" s="12"/>
      <c r="AS37" s="13" t="s">
        <v>18</v>
      </c>
      <c r="AT37" s="11">
        <f>IF(OR(AT36&lt;$AI$45/3,AT36=$AI$45/3),$AI$46*AT36,IF(AND(AT36&gt;$AI$45/3,OR(AT36=$AI$45/3*2,AT36&lt;$AI$45/3*2)),($AI$46*$AI$45/3+(AT36-$AI$45/3)*$AL$46),IF(AT36&gt;$AI$45*2/3,(AT36-2*$AI$45/3)*$AO$46+($AI$45/3*($AI$46+$AL$46)))))</f>
        <v>0</v>
      </c>
      <c r="AU37" s="11">
        <f t="shared" ref="AU37:BR37" si="1">IF(OR(AU36&lt;$AI$45/3,AU36=$AI$45/3),$AI$46*AU36,IF(AND(AU36&gt;$AI$45/3,OR(AU36=$AI$45/3*2,AU36&lt;$AI$45/3*2)),($AI$46*$AI$45/3+(AU36-$AI$45/3)*$AL$46),IF(AU36&gt;$AI$45*2/3,(AU36-2*$AI$45/3)*$AO$46+($AI$45/3*($AI$46+$AL$46)))))</f>
        <v>1.2500000000000001E-2</v>
      </c>
      <c r="AV37" s="11">
        <f t="shared" si="1"/>
        <v>2.5000000000000001E-2</v>
      </c>
      <c r="AW37" s="11">
        <f t="shared" si="1"/>
        <v>3.7500000000000006E-2</v>
      </c>
      <c r="AX37" s="11">
        <f t="shared" si="1"/>
        <v>0.05</v>
      </c>
      <c r="AY37" s="11">
        <f t="shared" si="1"/>
        <v>6.25E-2</v>
      </c>
      <c r="AZ37" s="11">
        <f t="shared" si="1"/>
        <v>7.5000000000000011E-2</v>
      </c>
      <c r="BA37" s="11">
        <f t="shared" si="1"/>
        <v>8.7500000000000008E-2</v>
      </c>
      <c r="BB37" s="11">
        <f t="shared" si="1"/>
        <v>0.1</v>
      </c>
      <c r="BC37" s="11">
        <f t="shared" si="1"/>
        <v>0.11250000000000002</v>
      </c>
      <c r="BD37" s="11">
        <f>IF(OR(BD36&lt;$AI$45/3,BD36=$AI$45/3),$AI$46*BD36,IF(AND(BD36&gt;$AI$45/3,OR(BD36=$AI$45/3*2,BD36&lt;$AI$45/3*2)),($AI$46*$AI$45/3+(BD36-$AI$45/3)*$AL$46),IF(BD36&gt;$AI$45*2/3,(BD36-2*$AI$45/3)*$AO$46+($AI$45/3*($AI$46+$AL$46)))))</f>
        <v>0.12500000000000003</v>
      </c>
      <c r="BE37" s="11">
        <f t="shared" si="1"/>
        <v>0.13750000000000001</v>
      </c>
      <c r="BF37" s="11">
        <f t="shared" si="1"/>
        <v>0.15000000000000002</v>
      </c>
      <c r="BG37" s="11">
        <f t="shared" si="1"/>
        <v>0.16250000000000003</v>
      </c>
      <c r="BH37" s="11">
        <f t="shared" si="1"/>
        <v>0.17500000000000004</v>
      </c>
      <c r="BI37" s="11">
        <f t="shared" si="1"/>
        <v>0.18750000000000003</v>
      </c>
      <c r="BJ37" s="11">
        <f t="shared" si="1"/>
        <v>0.2</v>
      </c>
      <c r="BK37" s="11">
        <f t="shared" si="1"/>
        <v>0.2</v>
      </c>
      <c r="BL37" s="11">
        <f t="shared" si="1"/>
        <v>0.2</v>
      </c>
      <c r="BM37" s="11">
        <f t="shared" si="1"/>
        <v>0.2</v>
      </c>
      <c r="BN37" s="11">
        <f t="shared" si="1"/>
        <v>0.2</v>
      </c>
      <c r="BO37" s="11">
        <f t="shared" si="1"/>
        <v>0.2</v>
      </c>
      <c r="BP37" s="11">
        <f t="shared" si="1"/>
        <v>0.2</v>
      </c>
      <c r="BQ37" s="11">
        <f t="shared" si="1"/>
        <v>0.2</v>
      </c>
      <c r="BR37" s="14">
        <f t="shared" si="1"/>
        <v>0.2</v>
      </c>
      <c r="BS37" s="11"/>
      <c r="BT37" s="11"/>
      <c r="BU37" s="11"/>
      <c r="BV37" s="11"/>
    </row>
    <row r="38" spans="1:132" ht="15.75" thickBot="1">
      <c r="C38" s="6" t="s">
        <v>12</v>
      </c>
      <c r="AB38" s="1">
        <v>0</v>
      </c>
      <c r="AC38" s="1">
        <f t="shared" ref="AC38:AC43" si="2">C44</f>
        <v>45</v>
      </c>
      <c r="AF38" s="1"/>
      <c r="AG38" s="2"/>
      <c r="AH38" s="2"/>
      <c r="AI38" s="1"/>
      <c r="AJ38" s="1"/>
      <c r="AK38" s="1"/>
      <c r="AL38" s="1"/>
      <c r="AM38" s="1"/>
      <c r="AN38" s="1"/>
      <c r="AO38" s="1"/>
      <c r="AP38" s="1"/>
      <c r="AQ38" s="1"/>
      <c r="AR38" s="12"/>
      <c r="AS38" s="13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4"/>
      <c r="BS38" s="11"/>
      <c r="BT38" s="11"/>
      <c r="BU38" s="11"/>
      <c r="BV38" s="11"/>
    </row>
    <row r="39" spans="1:132" ht="16.5" customHeight="1">
      <c r="C39" s="6" t="s">
        <v>16</v>
      </c>
      <c r="AB39" s="1">
        <f>C40</f>
        <v>0.1</v>
      </c>
      <c r="AC39" s="1">
        <f t="shared" si="2"/>
        <v>45</v>
      </c>
      <c r="AF39" s="1"/>
      <c r="AG39" s="15"/>
      <c r="AH39" s="2" t="s">
        <v>22</v>
      </c>
      <c r="AI39" s="1">
        <f>AI36*C41/(2*C43)*(C42+C41/3)</f>
        <v>8.3333333333333332E-3</v>
      </c>
      <c r="AJ39" s="1" t="s">
        <v>23</v>
      </c>
      <c r="AK39" s="1">
        <f>C40+(2*AI39/AI37)^0.5</f>
        <v>0.1408248290463863</v>
      </c>
      <c r="AL39" s="2" t="s">
        <v>22</v>
      </c>
      <c r="AM39" s="1">
        <f>AM36*C40/2-AM40</f>
        <v>0</v>
      </c>
      <c r="AN39" s="1"/>
      <c r="AO39" s="2" t="s">
        <v>22</v>
      </c>
      <c r="AP39" s="1">
        <f>AP36*C42^2/6/C43</f>
        <v>0</v>
      </c>
      <c r="AQ39" s="1"/>
      <c r="AR39" s="16" t="s">
        <v>24</v>
      </c>
      <c r="AS39" s="13" t="s">
        <v>25</v>
      </c>
      <c r="AT39" s="11">
        <f>IF(AT37&lt;$C$40,-$AM$39+$AM$37*AT37^2/2,$AM$40)</f>
        <v>0</v>
      </c>
      <c r="AU39" s="11">
        <f>IF(AU37&lt;$C$40,-$AM$39+$AM$37*AU37^2/2,$AM$40)</f>
        <v>0</v>
      </c>
      <c r="AV39" s="11">
        <f>IF(AV37&lt;$C$40,-$AM$39+$AM$37*AV37^2/2,$AM$40)</f>
        <v>0</v>
      </c>
      <c r="AW39" s="11">
        <f>IF(AW37&lt;$C$40,-$AM$39+$AM$37*AW37^2/2,$AM$40)</f>
        <v>0</v>
      </c>
      <c r="AX39" s="11">
        <f>IF(AX37&lt;$C$40,-$AM$39+$AM$37*AX37^2/2,$AM$40)</f>
        <v>0</v>
      </c>
      <c r="AY39" s="11">
        <f>IF(AY37&lt;$C$40,-$AM$39+$AM$37*AY37^2/2,$AM$40)</f>
        <v>0</v>
      </c>
      <c r="AZ39" s="11">
        <f>IF(AZ37&lt;$C$40,-$AM$39+$AM$37*AZ37^2/2,$AM$40)</f>
        <v>0</v>
      </c>
      <c r="BA39" s="11">
        <f>IF(BA37&lt;$C$40,-$AM$39+$AM$37*BA37^2/2,$AM$40)</f>
        <v>0</v>
      </c>
      <c r="BB39" s="11">
        <f>IF(BB37&lt;$C$40,-$AM$39+$AM$37*BB37^2/2,$AM$40)</f>
        <v>0</v>
      </c>
      <c r="BC39" s="11">
        <f>IF(BC37&lt;$C$40,-$AM$39+$AM$37*BC37^2/2,$AM$40)</f>
        <v>0</v>
      </c>
      <c r="BD39" s="11">
        <f>IF(BD37&lt;$C$40,-$AM$39+$AM$37*BD37^2/2,$AM$40)</f>
        <v>0</v>
      </c>
      <c r="BE39" s="11">
        <f>IF(BE37&lt;$C$40,-$AM$39+$AM$37*BE37^2/2,$AM$40)</f>
        <v>0</v>
      </c>
      <c r="BF39" s="11">
        <f>IF(BF37&lt;$C$40,-$AM$39+$AM$37*BF37^2/2,$AM$40)</f>
        <v>0</v>
      </c>
      <c r="BG39" s="11">
        <f>IF(BG37&lt;$C$40,-$AM$39+$AM$37*BG37^2/2,$AM$40)</f>
        <v>0</v>
      </c>
      <c r="BH39" s="11">
        <f>IF(BH37&lt;$C$40,-$AM$39+$AM$37*BH37^2/2,$AM$40)</f>
        <v>0</v>
      </c>
      <c r="BI39" s="11">
        <f>IF(BI37&lt;$C$40,-$AM$39+$AM$37*BI37^2/2,$AM$40)</f>
        <v>0</v>
      </c>
      <c r="BJ39" s="11">
        <f>IF(BJ37&lt;$C$40,-$AM$39+$AM$37*BJ37^2/2,$AM$40)</f>
        <v>0</v>
      </c>
      <c r="BK39" s="11">
        <f>IF(BK37&lt;$C$40,-$AM$39+$AM$37*BK37^2/2,$AM$40)</f>
        <v>0</v>
      </c>
      <c r="BL39" s="11">
        <f>IF(BL37&lt;$C$40,-$AM$39+$AM$37*BL37^2/2,$AM$40)</f>
        <v>0</v>
      </c>
      <c r="BM39" s="11">
        <f>IF(BM37&lt;$C$40,-$AM$39+$AM$37*BM37^2/2,$AM$40)</f>
        <v>0</v>
      </c>
      <c r="BN39" s="11">
        <f>IF(BN37&lt;$C$40,-$AM$39+$AM$37*BN37^2/2,$AM$40)</f>
        <v>0</v>
      </c>
      <c r="BO39" s="11">
        <f>IF(BO37&lt;$C$40,-$AM$39+$AM$37*BO37^2/2,$AM$40)</f>
        <v>0</v>
      </c>
      <c r="BP39" s="11">
        <f>IF(BP37&lt;$C$40,-$AM$39+$AM$37*BP37^2/2,$AM$40)</f>
        <v>0</v>
      </c>
      <c r="BQ39" s="11">
        <f>IF(BQ37&lt;$C$40,-$AM$39+$AM$37*BQ37^2/2,$AM$40)</f>
        <v>0</v>
      </c>
      <c r="BR39" s="11">
        <f>IF(BR37&lt;$C$40,-$AM$39+$AM$37*BR37^2/2,$AM$40)</f>
        <v>0</v>
      </c>
      <c r="BS39" s="11"/>
      <c r="BT39" s="11"/>
      <c r="BU39" s="11"/>
      <c r="BV39" s="11"/>
      <c r="BW39" s="17" t="s">
        <v>26</v>
      </c>
      <c r="BX39" s="8" t="s">
        <v>25</v>
      </c>
      <c r="BY39" s="9">
        <f>IF(OR(AT37&lt;$C$40,AT37=$C$40),-$AI$39,IF(AND(AT37&gt;$C$40,AT37&lt;$C$40+$C$41),-$AI$39+$AI$37*(AT37-$C$40)^2/2,$AI$40))</f>
        <v>-8.3333333333333332E-3</v>
      </c>
      <c r="BZ39" s="9">
        <f>IF(OR(AU37&lt;$C$40,AU37=$C$40),-$AI$39,IF(AND(AU37&gt;$C$40,AU37&lt;$C$40+$C$41),-$AI$39+$AI$37*(AU37-$C$40)^2/2,$AI$40))</f>
        <v>-8.3333333333333332E-3</v>
      </c>
      <c r="CA39" s="9">
        <f>IF(OR(AV37&lt;$C$40,AV37=$C$40),-$AI$39,IF(AND(AV37&gt;$C$40,AV37&lt;$C$40+$C$41),-$AI$39+$AI$37*(AV37-$C$40)^2/2,$AI$40))</f>
        <v>-8.3333333333333332E-3</v>
      </c>
      <c r="CB39" s="9">
        <f>IF(OR(AW37&lt;$C$40,AW37=$C$40),-$AI$39,IF(AND(AW37&gt;$C$40,AW37&lt;$C$40+$C$41),-$AI$39+$AI$37*(AW37-$C$40)^2/2,$AI$40))</f>
        <v>-8.3333333333333332E-3</v>
      </c>
      <c r="CC39" s="9">
        <f>IF(OR(AX37&lt;$C$40,AX37=$C$40),-$AI$39,IF(AND(AX37&gt;$C$40,AX37&lt;$C$40+$C$41),-$AI$39+$AI$37*(AX37-$C$40)^2/2,$AI$40))</f>
        <v>-8.3333333333333332E-3</v>
      </c>
      <c r="CD39" s="9">
        <f>IF(OR(AY37&lt;$C$40,AY37=$C$40),-$AI$39,IF(AND(AY37&gt;$C$40,AY37&lt;$C$40+$C$41),-$AI$39+$AI$37*(AY37-$C$40)^2/2,$AI$40))</f>
        <v>-8.3333333333333332E-3</v>
      </c>
      <c r="CE39" s="9">
        <f>IF(OR(AZ37&lt;$C$40,AZ37=$C$40),-$AI$39,IF(AND(AZ37&gt;$C$40,AZ37&lt;$C$40+$C$41),-$AI$39+$AI$37*(AZ37-$C$40)^2/2,$AI$40))</f>
        <v>-8.3333333333333332E-3</v>
      </c>
      <c r="CF39" s="9">
        <f>IF(OR(BA37&lt;$C$40,BA37=$C$40),-$AI$39,IF(AND(BA37&gt;$C$40,BA37&lt;$C$40+$C$41),-$AI$39+$AI$37*(BA37-$C$40)^2/2,$AI$40))</f>
        <v>-8.3333333333333332E-3</v>
      </c>
      <c r="CG39" s="9">
        <f>IF(OR(BB37&lt;$C$40,BB37=$C$40),-$AI$39,IF(AND(BB37&gt;$C$40,BB37&lt;$C$40+$C$41),-$AI$39+$AI$37*(BB37-$C$40)^2/2,$AI$40))</f>
        <v>-8.3333333333333332E-3</v>
      </c>
      <c r="CH39" s="9">
        <f>IF(OR(BC37&lt;$C$40,BC37=$C$40),-$AI$39,IF(AND(BC37&gt;$C$40,BC37&lt;$C$40+$C$41),-$AI$39+$AI$37*(BC37-$C$40)^2/2,$AI$40))</f>
        <v>-7.5520833333333317E-3</v>
      </c>
      <c r="CI39" s="9">
        <f>IF(OR(BD37&lt;$C$40,BD37=$C$40),-$AI$39,IF(AND(BD37&gt;$C$40,BD37&lt;$C$40+$C$41),-$AI$39+$AI$37*(BD37-$C$40)^2/2,$AI$40))</f>
        <v>-5.2083333333333278E-3</v>
      </c>
      <c r="CJ39" s="9">
        <f>IF(OR(BE37&lt;$C$40,BE37=$C$40),-$AI$39,IF(AND(BE37&gt;$C$40,BE37&lt;$C$40+$C$41),-$AI$39+$AI$37*(BE37-$C$40)^2/2,$AI$40))</f>
        <v>-1.3020833333333313E-3</v>
      </c>
      <c r="CK39" s="9">
        <f>IF(OR(BF37&lt;$C$40,BF37=$C$40),-$AI$39,IF(AND(BF37&gt;$C$40,BF37&lt;$C$40+$C$41),-$AI$39+$AI$37*(BF37-$C$40)^2/2,$AI$40))</f>
        <v>4.1666666666666761E-3</v>
      </c>
      <c r="CL39" s="9">
        <f>IF(OR(BG37&lt;$C$40,BG37=$C$40),-$AI$39,IF(AND(BG37&gt;$C$40,BG37&lt;$C$40+$C$41),-$AI$39+$AI$37*(BG37-$C$40)^2/2,$AI$40))</f>
        <v>1.1197916666666684E-2</v>
      </c>
      <c r="CM39" s="9">
        <f>IF(OR(BH37&lt;$C$40,BH37=$C$40),-$AI$39,IF(AND(BH37&gt;$C$40,BH37&lt;$C$40+$C$41),-$AI$39+$AI$37*(BH37-$C$40)^2/2,$AI$40))</f>
        <v>1.9791666666666693E-2</v>
      </c>
      <c r="CN39" s="9">
        <f>IF(OR(BI37&lt;$C$40,BI37=$C$40),-$AI$39,IF(AND(BI37&gt;$C$40,BI37&lt;$C$40+$C$41),-$AI$39+$AI$37*(BI37-$C$40)^2/2,$AI$40))</f>
        <v>2.9947916666666692E-2</v>
      </c>
      <c r="CO39" s="9">
        <f>IF(OR(BJ37&lt;$C$40,BJ37=$C$40),-$AI$39,IF(AND(BJ37&gt;$C$40,BJ37&lt;$C$40+$C$41),-$AI$39+$AI$37*(BJ37-$C$40)^2/2,$AI$40))</f>
        <v>4.1666666666666671E-2</v>
      </c>
      <c r="CP39" s="9">
        <f>IF(OR(BK37&lt;$C$40,BK37=$C$40),-$AI$39,IF(AND(BK37&gt;$C$40,BK37&lt;$C$40+$C$41),-$AI$39+$AI$37*(BK37-$C$40)^2/2,$AI$40))</f>
        <v>4.1666666666666671E-2</v>
      </c>
      <c r="CQ39" s="9">
        <f>IF(OR(BL37&lt;$C$40,BL37=$C$40),-$AI$39,IF(AND(BL37&gt;$C$40,BL37&lt;$C$40+$C$41),-$AI$39+$AI$37*(BL37-$C$40)^2/2,$AI$40))</f>
        <v>4.1666666666666671E-2</v>
      </c>
      <c r="CR39" s="9">
        <f>IF(OR(BM37&lt;$C$40,BM37=$C$40),-$AI$39,IF(AND(BM37&gt;$C$40,BM37&lt;$C$40+$C$41),-$AI$39+$AI$37*(BM37-$C$40)^2/2,$AI$40))</f>
        <v>4.1666666666666671E-2</v>
      </c>
      <c r="CS39" s="9">
        <f>IF(OR(BN37&lt;$C$40,BN37=$C$40),-$AI$39,IF(AND(BN37&gt;$C$40,BN37&lt;$C$40+$C$41),-$AI$39+$AI$37*(BN37-$C$40)^2/2,$AI$40))</f>
        <v>4.1666666666666671E-2</v>
      </c>
      <c r="CT39" s="9">
        <f>IF(OR(BO37&lt;$C$40,BO37=$C$40),-$AI$39,IF(AND(BO37&gt;$C$40,BO37&lt;$C$40+$C$41),-$AI$39+$AI$37*(BO37-$C$40)^2/2,$AI$40))</f>
        <v>4.1666666666666671E-2</v>
      </c>
      <c r="CU39" s="9">
        <f>IF(OR(BP37&lt;$C$40,BP37=$C$40),-$AI$39,IF(AND(BP37&gt;$C$40,BP37&lt;$C$40+$C$41),-$AI$39+$AI$37*(BP37-$C$40)^2/2,$AI$40))</f>
        <v>4.1666666666666671E-2</v>
      </c>
      <c r="CV39" s="9">
        <f>IF(OR(BQ37&lt;$C$40,BQ37=$C$40),-$AI$39,IF(AND(BQ37&gt;$C$40,BQ37&lt;$C$40+$C$41),-$AI$39+$AI$37*(BQ37-$C$40)^2/2,$AI$40))</f>
        <v>4.1666666666666671E-2</v>
      </c>
      <c r="CW39" s="9">
        <f>IF(OR(BR37&lt;$C$40,BR37=$C$40),-$AI$39,IF(AND(BR37&gt;$C$40,BR37&lt;$C$40+$C$41),-$AI$39+$AI$37*(BR37-$C$40)^2/2,$AI$40))</f>
        <v>4.1666666666666671E-2</v>
      </c>
      <c r="DB39" s="17" t="s">
        <v>27</v>
      </c>
      <c r="DC39" s="8" t="s">
        <v>25</v>
      </c>
      <c r="DD39" s="9">
        <f>IF(AT37&lt;$C$40+$C$41,-$AP$39,-$AP$39+$AP$37*(AT37-($C$40+$C$41))^2/2)</f>
        <v>0</v>
      </c>
      <c r="DE39" s="9">
        <f>IF(AU37&lt;$C$40+$C$41,-$AP$39,-$AP$39+$AP$37*(AU37-($C$40+$C$41))^2/2)</f>
        <v>0</v>
      </c>
      <c r="DF39" s="9">
        <f>IF(AV37&lt;$C$40+$C$41,-$AP$39,-$AP$39+$AP$37*(AV37-($C$40+$C$41))^2/2)</f>
        <v>0</v>
      </c>
      <c r="DG39" s="9">
        <f>IF(AW37&lt;$C$40+$C$41,-$AP$39,-$AP$39+$AP$37*(AW37-($C$40+$C$41))^2/2)</f>
        <v>0</v>
      </c>
      <c r="DH39" s="9">
        <f>IF(AX37&lt;$C$40+$C$41,-$AP$39,-$AP$39+$AP$37*(AX37-($C$40+$C$41))^2/2)</f>
        <v>0</v>
      </c>
      <c r="DI39" s="9">
        <f>IF(AY37&lt;$C$40+$C$41,-$AP$39,-$AP$39+$AP$37*(AY37-($C$40+$C$41))^2/2)</f>
        <v>0</v>
      </c>
      <c r="DJ39" s="9">
        <f>IF(AZ37&lt;$C$40+$C$41,-$AP$39,-$AP$39+$AP$37*(AZ37-($C$40+$C$41))^2/2)</f>
        <v>0</v>
      </c>
      <c r="DK39" s="9">
        <f>IF(BA37&lt;$C$40+$C$41,-$AP$39,-$AP$39+$AP$37*(BA37-($C$40+$C$41))^2/2)</f>
        <v>0</v>
      </c>
      <c r="DL39" s="9">
        <f>IF(BB37&lt;$C$40+$C$41,-$AP$39,-$AP$39+$AP$37*(BB37-($C$40+$C$41))^2/2)</f>
        <v>0</v>
      </c>
      <c r="DM39" s="9">
        <f>IF(BC37&lt;$C$40+$C$41,-$AP$39,-$AP$39+$AP$37*(BC37-($C$40+$C$41))^2/2)</f>
        <v>0</v>
      </c>
      <c r="DN39" s="9">
        <f>IF(BD37&lt;$C$40+$C$41,-$AP$39,-$AP$39+$AP$37*(BD37-($C$40+$C$41))^2/2)</f>
        <v>0</v>
      </c>
      <c r="DO39" s="9">
        <f>IF(BE37&lt;$C$40+$C$41,-$AP$39,-$AP$39+$AP$37*(BE37-($C$40+$C$41))^2/2)</f>
        <v>0</v>
      </c>
      <c r="DP39" s="9">
        <f>IF(BF37&lt;$C$40+$C$41,-$AP$39,-$AP$39+$AP$37*(BF37-($C$40+$C$41))^2/2)</f>
        <v>0</v>
      </c>
      <c r="DQ39" s="9">
        <f>IF(BG37&lt;$C$40+$C$41,-$AP$39,-$AP$39+$AP$37*(BG37-($C$40+$C$41))^2/2)</f>
        <v>0</v>
      </c>
      <c r="DR39" s="9">
        <f>IF(BH37&lt;$C$40+$C$41,-$AP$39,-$AP$39+$AP$37*(BH37-($C$40+$C$41))^2/2)</f>
        <v>0</v>
      </c>
      <c r="DS39" s="9">
        <f>IF(BI37&lt;$C$40+$C$41,-$AP$39,-$AP$39+$AP$37*(BI37-($C$40+$C$41))^2/2)</f>
        <v>0</v>
      </c>
      <c r="DT39" s="9">
        <f>IF(BJ37&lt;$C$40+$C$41,-$AP$39,-$AP$39+$AP$37*(BJ37-($C$40+$C$41))^2/2)</f>
        <v>0</v>
      </c>
      <c r="DU39" s="9">
        <f>IF(BK37&lt;$C$40+$C$41,-$AP$39,-$AP$39+$AP$37*(BK37-($C$40+$C$41))^2/2)</f>
        <v>0</v>
      </c>
      <c r="DV39" s="9">
        <f>IF(BL37&lt;$C$40+$C$41,-$AP$39,-$AP$39+$AP$37*(BL37-($C$40+$C$41))^2/2)</f>
        <v>0</v>
      </c>
      <c r="DW39" s="9">
        <f>IF(BM37&lt;$C$40+$C$41,-$AP$39,-$AP$39+$AP$37*(BM37-($C$40+$C$41))^2/2)</f>
        <v>0</v>
      </c>
      <c r="DX39" s="9">
        <f>IF(BN37&lt;$C$40+$C$41,-$AP$39,-$AP$39+$AP$37*(BN37-($C$40+$C$41))^2/2)</f>
        <v>0</v>
      </c>
      <c r="DY39" s="9">
        <f>IF(BO37&lt;$C$40+$C$41,-$AP$39,-$AP$39+$AP$37*(BO37-($C$40+$C$41))^2/2)</f>
        <v>0</v>
      </c>
      <c r="DZ39" s="9">
        <f>IF(BP37&lt;$C$40+$C$41,-$AP$39,-$AP$39+$AP$37*(BP37-($C$40+$C$41))^2/2)</f>
        <v>0</v>
      </c>
      <c r="EA39" s="9">
        <f>IF(BQ37&lt;$C$40+$C$41,-$AP$39,-$AP$39+$AP$37*(BQ37-($C$40+$C$41))^2/2)</f>
        <v>0</v>
      </c>
      <c r="EB39" s="9">
        <f>IF(BR37&lt;$C$40+$C$41,-$AP$39,-$AP$39+$AP$37*(BR37-($C$40+$C$41))^2/2)</f>
        <v>0</v>
      </c>
    </row>
    <row r="40" spans="1:132" ht="18">
      <c r="B40" s="2" t="s">
        <v>19</v>
      </c>
      <c r="C40" s="1">
        <f>B8</f>
        <v>0.1</v>
      </c>
      <c r="D40" s="1" t="s">
        <v>20</v>
      </c>
      <c r="AB40" s="1">
        <f>AB39</f>
        <v>0.1</v>
      </c>
      <c r="AC40" s="1">
        <f t="shared" si="2"/>
        <v>45</v>
      </c>
      <c r="AF40" s="1"/>
      <c r="AG40" s="2"/>
      <c r="AH40" s="2" t="s">
        <v>29</v>
      </c>
      <c r="AI40" s="1">
        <f>AI36*C41/2-AI39</f>
        <v>4.1666666666666671E-2</v>
      </c>
      <c r="AJ40" s="1"/>
      <c r="AK40" s="1"/>
      <c r="AL40" s="2" t="s">
        <v>29</v>
      </c>
      <c r="AM40" s="1">
        <f>AM36*C40^2/(3*C43)</f>
        <v>0</v>
      </c>
      <c r="AN40" s="1"/>
      <c r="AO40" s="2" t="s">
        <v>29</v>
      </c>
      <c r="AP40" s="1">
        <f>AP36*C42/2-AP39</f>
        <v>0</v>
      </c>
      <c r="AQ40" s="1"/>
      <c r="AR40" s="12"/>
      <c r="AS40" s="13" t="s">
        <v>30</v>
      </c>
      <c r="AT40" s="11">
        <f>IF(AT37&lt;$C$40,-$AM$41+$C$44*AT37,$AM$42)</f>
        <v>-3.375</v>
      </c>
      <c r="AU40" s="11">
        <f>IF(AU37&lt;$C$40,-$AM$41+$C$44*AU37,$AM$42)</f>
        <v>-2.8125</v>
      </c>
      <c r="AV40" s="11">
        <f>IF(AV37&lt;$C$40,-$AM$41+$C$44*AV37,$AM$42)</f>
        <v>-2.25</v>
      </c>
      <c r="AW40" s="11">
        <f>IF(AW37&lt;$C$40,-$AM$41+$C$44*AW37,$AM$42)</f>
        <v>-1.6874999999999998</v>
      </c>
      <c r="AX40" s="11">
        <f>IF(AX37&lt;$C$40,-$AM$41+$C$44*AX37,$AM$42)</f>
        <v>-1.125</v>
      </c>
      <c r="AY40" s="11">
        <f>IF(AY37&lt;$C$40,-$AM$41+$C$44*AY37,$AM$42)</f>
        <v>-0.5625</v>
      </c>
      <c r="AZ40" s="11">
        <f>IF(AZ37&lt;$C$40,-$AM$41+$C$44*AZ37,$AM$42)</f>
        <v>4.4408920985006262E-16</v>
      </c>
      <c r="BA40" s="11">
        <f>IF(BA37&lt;$C$40,-$AM$41+$C$44*BA37,$AM$42)</f>
        <v>0.56250000000000044</v>
      </c>
      <c r="BB40" s="11">
        <f>IF(BB37&lt;$C$40,-$AM$41+$C$44*BB37,$AM$42)</f>
        <v>1.125</v>
      </c>
      <c r="BC40" s="11">
        <f>IF(BC37&lt;$C$40,-$AM$41+$C$44*BC37,$AM$42)</f>
        <v>1.125</v>
      </c>
      <c r="BD40" s="11">
        <f>IF(BD37&lt;$C$40,-$AM$41+$C$44*BD37,$AM$42)</f>
        <v>1.125</v>
      </c>
      <c r="BE40" s="11">
        <f>IF(BE37&lt;$C$40,-$AM$41+$C$44*BE37,$AM$42)</f>
        <v>1.125</v>
      </c>
      <c r="BF40" s="11">
        <f>IF(BF37&lt;$C$40,-$AM$41+$C$44*BF37,$AM$42)</f>
        <v>1.125</v>
      </c>
      <c r="BG40" s="11">
        <f>IF(BG37&lt;$C$40,-$AM$41+$C$44*BG37,$AM$42)</f>
        <v>1.125</v>
      </c>
      <c r="BH40" s="11">
        <f>IF(BH37&lt;$C$40,-$AM$41+$C$44*BH37,$AM$42)</f>
        <v>1.125</v>
      </c>
      <c r="BI40" s="11">
        <f>IF(BI37&lt;$C$40,-$AM$41+$C$44*BI37,$AM$42)</f>
        <v>1.125</v>
      </c>
      <c r="BJ40" s="11">
        <f>IF(BJ37&lt;$C$40,-$AM$41+$C$44*BJ37,$AM$42)</f>
        <v>1.125</v>
      </c>
      <c r="BK40" s="11">
        <f>IF(BK37&lt;$C$40,-$AM$41+$C$44*BK37,$AM$42)</f>
        <v>1.125</v>
      </c>
      <c r="BL40" s="11">
        <f>IF(BL37&lt;$C$40,-$AM$41+$C$44*BL37,$AM$42)</f>
        <v>1.125</v>
      </c>
      <c r="BM40" s="11">
        <f>IF(BM37&lt;$C$40,-$AM$41+$C$44*BM37,$AM$42)</f>
        <v>1.125</v>
      </c>
      <c r="BN40" s="11">
        <f>IF(BN37&lt;$C$40,-$AM$41+$C$44*BN37,$AM$42)</f>
        <v>1.125</v>
      </c>
      <c r="BO40" s="11">
        <f>IF(BO37&lt;$C$40,-$AM$41+$C$44*BO37,$AM$42)</f>
        <v>1.125</v>
      </c>
      <c r="BP40" s="11">
        <f>IF(BP37&lt;$C$40,-$AM$41+$C$44*BP37,$AM$42)</f>
        <v>1.125</v>
      </c>
      <c r="BQ40" s="11">
        <f>IF(BQ37&lt;$C$40,-$AM$41+$C$44*BQ37,$AM$42)</f>
        <v>1.125</v>
      </c>
      <c r="BR40" s="11">
        <f>IF(BR37&lt;$C$40,-$AM$41+$C$44*BR37,$AM$42)</f>
        <v>1.125</v>
      </c>
      <c r="BS40" s="11"/>
      <c r="BT40" s="11"/>
      <c r="BU40" s="11"/>
      <c r="BV40" s="11"/>
      <c r="BW40" s="12"/>
      <c r="BX40" s="13" t="s">
        <v>30</v>
      </c>
      <c r="BY40" s="11">
        <f>IF(OR(AT37&lt;$C$40,AT37=$C$40),-$AI$41,IF(AND(AT37&gt;$C$40,AT37&lt;$C$40+$C$41),-$AI$41+$C$46*(AT37-$C$40),$AI$42))</f>
        <v>-1.125</v>
      </c>
      <c r="BZ40" s="11">
        <f>IF(OR(AU37&lt;$C$40,AU37=$C$40),-$AI$41,IF(AND(AU37&gt;$C$40,AU37&lt;$C$40+$C$41),-$AI$41+$C$46*(AU37-$C$40),$AI$42))</f>
        <v>-1.125</v>
      </c>
      <c r="CA40" s="11">
        <f>IF(OR(AV37&lt;$C$40,AV37=$C$40),-$AI$41,IF(AND(AV37&gt;$C$40,AV37&lt;$C$40+$C$41),-$AI$41+$C$46*(AV37-$C$40),$AI$42))</f>
        <v>-1.125</v>
      </c>
      <c r="CB40" s="11">
        <f>IF(OR(AW37&lt;$C$40,AW37=$C$40),-$AI$41,IF(AND(AW37&gt;$C$40,AW37&lt;$C$40+$C$41),-$AI$41+$C$46*(AW37-$C$40),$AI$42))</f>
        <v>-1.125</v>
      </c>
      <c r="CC40" s="11">
        <f>IF(OR(AX37&lt;$C$40,AX37=$C$40),-$AI$41,IF(AND(AX37&gt;$C$40,AX37&lt;$C$40+$C$41),-$AI$41+$C$46*(AX37-$C$40),$AI$42))</f>
        <v>-1.125</v>
      </c>
      <c r="CD40" s="11">
        <f>IF(OR(AY37&lt;$C$40,AY37=$C$40),-$AI$41,IF(AND(AY37&gt;$C$40,AY37&lt;$C$40+$C$41),-$AI$41+$C$46*(AY37-$C$40),$AI$42))</f>
        <v>-1.125</v>
      </c>
      <c r="CE40" s="11">
        <f>IF(OR(AZ37&lt;$C$40,AZ37=$C$40),-$AI$41,IF(AND(AZ37&gt;$C$40,AZ37&lt;$C$40+$C$41),-$AI$41+$C$46*(AZ37-$C$40),$AI$42))</f>
        <v>-1.125</v>
      </c>
      <c r="CF40" s="11">
        <f>IF(OR(BA37&lt;$C$40,BA37=$C$40),-$AI$41,IF(AND(BA37&gt;$C$40,BA37&lt;$C$40+$C$41),-$AI$41+$C$46*(BA37-$C$40),$AI$42))</f>
        <v>-1.125</v>
      </c>
      <c r="CG40" s="11">
        <f>IF(OR(BB37&lt;$C$40,BB37=$C$40),-$AI$41,IF(AND(BB37&gt;$C$40,BB37&lt;$C$40+$C$41),-$AI$41+$C$46*(BB37-$C$40),$AI$42))</f>
        <v>-1.125</v>
      </c>
      <c r="CH40" s="11">
        <f>IF(OR(BC37&lt;$C$40,BC37=$C$40),-$AI$41,IF(AND(BC37&gt;$C$40,BC37&lt;$C$40+$C$41),-$AI$41+$C$46*(BC37-$C$40),$AI$42))</f>
        <v>-0.56249999999999956</v>
      </c>
      <c r="CI40" s="11">
        <f>IF(OR(BD37&lt;$C$40,BD37=$C$40),-$AI$41,IF(AND(BD37&gt;$C$40,BD37&lt;$C$40+$C$41),-$AI$41+$C$46*(BD37-$C$40),$AI$42))</f>
        <v>8.8817841970012523E-16</v>
      </c>
      <c r="CJ40" s="11">
        <f>IF(OR(BE37&lt;$C$40,BE37=$C$40),-$AI$41,IF(AND(BE37&gt;$C$40,BE37&lt;$C$40+$C$41),-$AI$41+$C$46*(BE37-$C$40),$AI$42))</f>
        <v>0.56250000000000022</v>
      </c>
      <c r="CK40" s="11">
        <f>IF(OR(BF37&lt;$C$40,BF37=$C$40),-$AI$41,IF(AND(BF37&gt;$C$40,BF37&lt;$C$40+$C$41),-$AI$41+$C$46*(BF37-$C$40),$AI$42))</f>
        <v>1.1250000000000009</v>
      </c>
      <c r="CL40" s="11">
        <f>IF(OR(BG37&lt;$C$40,BG37=$C$40),-$AI$41,IF(AND(BG37&gt;$C$40,BG37&lt;$C$40+$C$41),-$AI$41+$C$46*(BG37-$C$40),$AI$42))</f>
        <v>1.6875000000000013</v>
      </c>
      <c r="CM40" s="11">
        <f>IF(OR(BH37&lt;$C$40,BH37=$C$40),-$AI$41,IF(AND(BH37&gt;$C$40,BH37&lt;$C$40+$C$41),-$AI$41+$C$46*(BH37-$C$40),$AI$42))</f>
        <v>2.2500000000000018</v>
      </c>
      <c r="CN40" s="11">
        <f>IF(OR(BI37&lt;$C$40,BI37=$C$40),-$AI$41,IF(AND(BI37&gt;$C$40,BI37&lt;$C$40+$C$41),-$AI$41+$C$46*(BI37-$C$40),$AI$42))</f>
        <v>2.8125000000000009</v>
      </c>
      <c r="CO40" s="11">
        <f>IF(OR(BJ37&lt;$C$40,BJ37=$C$40),-$AI$41,IF(AND(BJ37&gt;$C$40,BJ37&lt;$C$40+$C$41),-$AI$41+$C$46*(BJ37-$C$40),$AI$42))</f>
        <v>3.375</v>
      </c>
      <c r="CP40" s="11">
        <f>IF(OR(BK37&lt;$C$40,BK37=$C$40),-$AI$41,IF(AND(BK37&gt;$C$40,BK37&lt;$C$40+$C$41),-$AI$41+$C$46*(BK37-$C$40),$AI$42))</f>
        <v>3.375</v>
      </c>
      <c r="CQ40" s="11">
        <f>IF(OR(BL37&lt;$C$40,BL37=$C$40),-$AI$41,IF(AND(BL37&gt;$C$40,BL37&lt;$C$40+$C$41),-$AI$41+$C$46*(BL37-$C$40),$AI$42))</f>
        <v>3.375</v>
      </c>
      <c r="CR40" s="11">
        <f>IF(OR(BM37&lt;$C$40,BM37=$C$40),-$AI$41,IF(AND(BM37&gt;$C$40,BM37&lt;$C$40+$C$41),-$AI$41+$C$46*(BM37-$C$40),$AI$42))</f>
        <v>3.375</v>
      </c>
      <c r="CS40" s="11">
        <f>IF(OR(BN37&lt;$C$40,BN37=$C$40),-$AI$41,IF(AND(BN37&gt;$C$40,BN37&lt;$C$40+$C$41),-$AI$41+$C$46*(BN37-$C$40),$AI$42))</f>
        <v>3.375</v>
      </c>
      <c r="CT40" s="11">
        <f>IF(OR(BO37&lt;$C$40,BO37=$C$40),-$AI$41,IF(AND(BO37&gt;$C$40,BO37&lt;$C$40+$C$41),-$AI$41+$C$46*(BO37-$C$40),$AI$42))</f>
        <v>3.375</v>
      </c>
      <c r="CU40" s="11">
        <f>IF(OR(BP37&lt;$C$40,BP37=$C$40),-$AI$41,IF(AND(BP37&gt;$C$40,BP37&lt;$C$40+$C$41),-$AI$41+$C$46*(BP37-$C$40),$AI$42))</f>
        <v>3.375</v>
      </c>
      <c r="CV40" s="11">
        <f>IF(OR(BQ37&lt;$C$40,BQ37=$C$40),-$AI$41,IF(AND(BQ37&gt;$C$40,BQ37&lt;$C$40+$C$41),-$AI$41+$C$46*(BQ37-$C$40),$AI$42))</f>
        <v>3.375</v>
      </c>
      <c r="CW40" s="11">
        <f>IF(OR(BR37&lt;$C$40,BR37=$C$40),-$AI$41,IF(AND(BR37&gt;$C$40,BR37&lt;$C$40+$C$41),-$AI$41+$C$46*(BR37-$C$40),$AI$42))</f>
        <v>3.375</v>
      </c>
      <c r="DB40" s="12"/>
      <c r="DC40" s="13" t="s">
        <v>30</v>
      </c>
      <c r="DD40" s="11">
        <f>IF(AT37&lt;$C$40+$C$41,-$AP$41,-$AP$41+$C$48*(AT37-$C$40-$C$41))</f>
        <v>0</v>
      </c>
      <c r="DE40" s="11">
        <f>IF(AU37&lt;$C$40+$C$41,-$AP$41,-$AP$41+$C$48*(AU37-$C$40-$C$41))</f>
        <v>0</v>
      </c>
      <c r="DF40" s="11">
        <f>IF(AV37&lt;$C$40+$C$41,-$AP$41,-$AP$41+$C$48*(AV37-$C$40-$C$41))</f>
        <v>0</v>
      </c>
      <c r="DG40" s="11">
        <f>IF(AW37&lt;$C$40+$C$41,-$AP$41,-$AP$41+$C$48*(AW37-$C$40-$C$41))</f>
        <v>0</v>
      </c>
      <c r="DH40" s="11">
        <f>IF(AX37&lt;$C$40+$C$41,-$AP$41,-$AP$41+$C$48*(AX37-$C$40-$C$41))</f>
        <v>0</v>
      </c>
      <c r="DI40" s="11">
        <f>IF(AY37&lt;$C$40+$C$41,-$AP$41,-$AP$41+$C$48*(AY37-$C$40-$C$41))</f>
        <v>0</v>
      </c>
      <c r="DJ40" s="11">
        <f>IF(AZ37&lt;$C$40+$C$41,-$AP$41,-$AP$41+$C$48*(AZ37-$C$40-$C$41))</f>
        <v>0</v>
      </c>
      <c r="DK40" s="11">
        <f>IF(BA37&lt;$C$40+$C$41,-$AP$41,-$AP$41+$C$48*(BA37-$C$40-$C$41))</f>
        <v>0</v>
      </c>
      <c r="DL40" s="11">
        <f>IF(BB37&lt;$C$40+$C$41,-$AP$41,-$AP$41+$C$48*(BB37-$C$40-$C$41))</f>
        <v>0</v>
      </c>
      <c r="DM40" s="11">
        <f>IF(BC37&lt;$C$40+$C$41,-$AP$41,-$AP$41+$C$48*(BC37-$C$40-$C$41))</f>
        <v>0</v>
      </c>
      <c r="DN40" s="11">
        <f>IF(BD37&lt;$C$40+$C$41,-$AP$41,-$AP$41+$C$48*(BD37-$C$40-$C$41))</f>
        <v>0</v>
      </c>
      <c r="DO40" s="11">
        <f>IF(BE37&lt;$C$40+$C$41,-$AP$41,-$AP$41+$C$48*(BE37-$C$40-$C$41))</f>
        <v>0</v>
      </c>
      <c r="DP40" s="11">
        <f>IF(BF37&lt;$C$40+$C$41,-$AP$41,-$AP$41+$C$48*(BF37-$C$40-$C$41))</f>
        <v>0</v>
      </c>
      <c r="DQ40" s="11">
        <f>IF(BG37&lt;$C$40+$C$41,-$AP$41,-$AP$41+$C$48*(BG37-$C$40-$C$41))</f>
        <v>0</v>
      </c>
      <c r="DR40" s="11">
        <f>IF(BH37&lt;$C$40+$C$41,-$AP$41,-$AP$41+$C$48*(BH37-$C$40-$C$41))</f>
        <v>0</v>
      </c>
      <c r="DS40" s="11">
        <f>IF(BI37&lt;$C$40+$C$41,-$AP$41,-$AP$41+$C$48*(BI37-$C$40-$C$41))</f>
        <v>0</v>
      </c>
      <c r="DT40" s="11">
        <f>IF(BJ37&lt;$C$40+$C$41,-$AP$41,-$AP$41+$C$48*(BJ37-$C$40-$C$41))</f>
        <v>0</v>
      </c>
      <c r="DU40" s="11">
        <f>IF(BK37&lt;$C$40+$C$41,-$AP$41,-$AP$41+$C$48*(BK37-$C$40-$C$41))</f>
        <v>0</v>
      </c>
      <c r="DV40" s="11">
        <f>IF(BL37&lt;$C$40+$C$41,-$AP$41,-$AP$41+$C$48*(BL37-$C$40-$C$41))</f>
        <v>0</v>
      </c>
      <c r="DW40" s="11">
        <f>IF(BM37&lt;$C$40+$C$41,-$AP$41,-$AP$41+$C$48*(BM37-$C$40-$C$41))</f>
        <v>0</v>
      </c>
      <c r="DX40" s="11">
        <f>IF(BN37&lt;$C$40+$C$41,-$AP$41,-$AP$41+$C$48*(BN37-$C$40-$C$41))</f>
        <v>0</v>
      </c>
      <c r="DY40" s="11">
        <f>IF(BO37&lt;$C$40+$C$41,-$AP$41,-$AP$41+$C$48*(BO37-$C$40-$C$41))</f>
        <v>0</v>
      </c>
      <c r="DZ40" s="11">
        <f>IF(BP37&lt;$C$40+$C$41,-$AP$41,-$AP$41+$C$48*(BP37-$C$40-$C$41))</f>
        <v>0</v>
      </c>
      <c r="EA40" s="11">
        <f>IF(BQ37&lt;$C$40+$C$41,-$AP$41,-$AP$41+$C$48*(BQ37-$C$40-$C$41))</f>
        <v>0</v>
      </c>
      <c r="EB40" s="11">
        <f>IF(BR37&lt;$C$40+$C$41,-$AP$41,-$AP$41+$C$48*(BR37-$C$40-$C$41))</f>
        <v>0</v>
      </c>
    </row>
    <row r="41" spans="1:132" ht="18">
      <c r="B41" s="2" t="s">
        <v>28</v>
      </c>
      <c r="C41" s="1">
        <f>B9</f>
        <v>0.1</v>
      </c>
      <c r="D41" s="1" t="s">
        <v>20</v>
      </c>
      <c r="AB41" s="1">
        <f>(C40+C41)</f>
        <v>0.2</v>
      </c>
      <c r="AC41" s="1">
        <f t="shared" si="2"/>
        <v>46</v>
      </c>
      <c r="AF41" s="1"/>
      <c r="AG41" s="1"/>
      <c r="AH41" s="2" t="s">
        <v>32</v>
      </c>
      <c r="AI41" s="1">
        <f>C46*C41*(C42+C41/2)/C43</f>
        <v>1.125</v>
      </c>
      <c r="AJ41" s="1"/>
      <c r="AK41" s="1"/>
      <c r="AL41" s="2" t="s">
        <v>32</v>
      </c>
      <c r="AM41" s="1">
        <f>C44*C40-AM42</f>
        <v>3.375</v>
      </c>
      <c r="AN41" s="1"/>
      <c r="AO41" s="2" t="s">
        <v>32</v>
      </c>
      <c r="AP41" s="1">
        <f>C48*C42^2/2/C43</f>
        <v>0</v>
      </c>
      <c r="AQ41" s="1"/>
      <c r="AR41" s="12"/>
      <c r="AS41" s="13" t="s">
        <v>33</v>
      </c>
      <c r="AT41" s="11">
        <f t="shared" ref="AT41:BR41" si="3">SUM(AT39:AT40)</f>
        <v>-3.375</v>
      </c>
      <c r="AU41" s="11">
        <f t="shared" si="3"/>
        <v>-2.8125</v>
      </c>
      <c r="AV41" s="11">
        <f t="shared" si="3"/>
        <v>-2.25</v>
      </c>
      <c r="AW41" s="11">
        <f t="shared" si="3"/>
        <v>-1.6874999999999998</v>
      </c>
      <c r="AX41" s="11">
        <f t="shared" si="3"/>
        <v>-1.125</v>
      </c>
      <c r="AY41" s="11">
        <f t="shared" si="3"/>
        <v>-0.5625</v>
      </c>
      <c r="AZ41" s="11">
        <f t="shared" si="3"/>
        <v>4.4408920985006262E-16</v>
      </c>
      <c r="BA41" s="11">
        <f t="shared" si="3"/>
        <v>0.56250000000000044</v>
      </c>
      <c r="BB41" s="11">
        <f t="shared" si="3"/>
        <v>1.125</v>
      </c>
      <c r="BC41" s="11">
        <f t="shared" si="3"/>
        <v>1.125</v>
      </c>
      <c r="BD41" s="11">
        <f t="shared" si="3"/>
        <v>1.125</v>
      </c>
      <c r="BE41" s="11">
        <f t="shared" si="3"/>
        <v>1.125</v>
      </c>
      <c r="BF41" s="11">
        <f t="shared" si="3"/>
        <v>1.125</v>
      </c>
      <c r="BG41" s="11">
        <f t="shared" si="3"/>
        <v>1.125</v>
      </c>
      <c r="BH41" s="11">
        <f t="shared" si="3"/>
        <v>1.125</v>
      </c>
      <c r="BI41" s="11">
        <f t="shared" si="3"/>
        <v>1.125</v>
      </c>
      <c r="BJ41" s="11">
        <f t="shared" si="3"/>
        <v>1.125</v>
      </c>
      <c r="BK41" s="11">
        <f t="shared" si="3"/>
        <v>1.125</v>
      </c>
      <c r="BL41" s="11">
        <f t="shared" si="3"/>
        <v>1.125</v>
      </c>
      <c r="BM41" s="11">
        <f t="shared" si="3"/>
        <v>1.125</v>
      </c>
      <c r="BN41" s="11">
        <f t="shared" si="3"/>
        <v>1.125</v>
      </c>
      <c r="BO41" s="11">
        <f t="shared" si="3"/>
        <v>1.125</v>
      </c>
      <c r="BP41" s="11">
        <f t="shared" si="3"/>
        <v>1.125</v>
      </c>
      <c r="BQ41" s="11">
        <f t="shared" si="3"/>
        <v>1.125</v>
      </c>
      <c r="BR41" s="14">
        <f t="shared" si="3"/>
        <v>1.125</v>
      </c>
      <c r="BS41" s="11"/>
      <c r="BT41" s="11"/>
      <c r="BU41" s="11"/>
      <c r="BV41" s="11"/>
      <c r="BW41" s="12"/>
      <c r="BX41" s="13" t="s">
        <v>33</v>
      </c>
      <c r="BY41" s="11">
        <f t="shared" ref="BY41:CW41" si="4">SUM(BY39:BY40)</f>
        <v>-1.1333333333333333</v>
      </c>
      <c r="BZ41" s="11">
        <f t="shared" si="4"/>
        <v>-1.1333333333333333</v>
      </c>
      <c r="CA41" s="11">
        <f t="shared" si="4"/>
        <v>-1.1333333333333333</v>
      </c>
      <c r="CB41" s="11">
        <f t="shared" si="4"/>
        <v>-1.1333333333333333</v>
      </c>
      <c r="CC41" s="11">
        <f t="shared" si="4"/>
        <v>-1.1333333333333333</v>
      </c>
      <c r="CD41" s="11">
        <f t="shared" si="4"/>
        <v>-1.1333333333333333</v>
      </c>
      <c r="CE41" s="11">
        <f t="shared" si="4"/>
        <v>-1.1333333333333333</v>
      </c>
      <c r="CF41" s="11">
        <f t="shared" si="4"/>
        <v>-1.1333333333333333</v>
      </c>
      <c r="CG41" s="11">
        <f t="shared" si="4"/>
        <v>-1.1333333333333333</v>
      </c>
      <c r="CH41" s="11">
        <f t="shared" si="4"/>
        <v>-0.5700520833333329</v>
      </c>
      <c r="CI41" s="11">
        <f t="shared" si="4"/>
        <v>-5.2083333333324397E-3</v>
      </c>
      <c r="CJ41" s="11">
        <f t="shared" si="4"/>
        <v>0.56119791666666685</v>
      </c>
      <c r="CK41" s="11">
        <f t="shared" si="4"/>
        <v>1.1291666666666675</v>
      </c>
      <c r="CL41" s="11">
        <f t="shared" si="4"/>
        <v>1.698697916666668</v>
      </c>
      <c r="CM41" s="11">
        <f t="shared" si="4"/>
        <v>2.2697916666666687</v>
      </c>
      <c r="CN41" s="11">
        <f t="shared" si="4"/>
        <v>2.8424479166666674</v>
      </c>
      <c r="CO41" s="11">
        <f t="shared" si="4"/>
        <v>3.4166666666666665</v>
      </c>
      <c r="CP41" s="11">
        <f t="shared" si="4"/>
        <v>3.4166666666666665</v>
      </c>
      <c r="CQ41" s="11">
        <f t="shared" si="4"/>
        <v>3.4166666666666665</v>
      </c>
      <c r="CR41" s="11">
        <f t="shared" si="4"/>
        <v>3.4166666666666665</v>
      </c>
      <c r="CS41" s="11">
        <f t="shared" si="4"/>
        <v>3.4166666666666665</v>
      </c>
      <c r="CT41" s="11">
        <f t="shared" si="4"/>
        <v>3.4166666666666665</v>
      </c>
      <c r="CU41" s="11">
        <f t="shared" si="4"/>
        <v>3.4166666666666665</v>
      </c>
      <c r="CV41" s="11">
        <f t="shared" si="4"/>
        <v>3.4166666666666665</v>
      </c>
      <c r="CW41" s="14">
        <f t="shared" si="4"/>
        <v>3.4166666666666665</v>
      </c>
      <c r="DB41" s="12"/>
      <c r="DC41" s="13" t="s">
        <v>33</v>
      </c>
      <c r="DD41" s="11">
        <f t="shared" ref="DD41:EB41" si="5">SUM(DD39:DD40)</f>
        <v>0</v>
      </c>
      <c r="DE41" s="11">
        <f t="shared" si="5"/>
        <v>0</v>
      </c>
      <c r="DF41" s="11">
        <f t="shared" si="5"/>
        <v>0</v>
      </c>
      <c r="DG41" s="11">
        <f t="shared" si="5"/>
        <v>0</v>
      </c>
      <c r="DH41" s="11">
        <f t="shared" si="5"/>
        <v>0</v>
      </c>
      <c r="DI41" s="11">
        <f t="shared" si="5"/>
        <v>0</v>
      </c>
      <c r="DJ41" s="11">
        <f t="shared" si="5"/>
        <v>0</v>
      </c>
      <c r="DK41" s="11">
        <f t="shared" si="5"/>
        <v>0</v>
      </c>
      <c r="DL41" s="11">
        <f t="shared" si="5"/>
        <v>0</v>
      </c>
      <c r="DM41" s="11">
        <f t="shared" si="5"/>
        <v>0</v>
      </c>
      <c r="DN41" s="11">
        <f t="shared" si="5"/>
        <v>0</v>
      </c>
      <c r="DO41" s="11">
        <f t="shared" si="5"/>
        <v>0</v>
      </c>
      <c r="DP41" s="11">
        <f t="shared" si="5"/>
        <v>0</v>
      </c>
      <c r="DQ41" s="11">
        <f t="shared" si="5"/>
        <v>0</v>
      </c>
      <c r="DR41" s="11">
        <f t="shared" si="5"/>
        <v>0</v>
      </c>
      <c r="DS41" s="11">
        <f t="shared" si="5"/>
        <v>0</v>
      </c>
      <c r="DT41" s="11">
        <f t="shared" si="5"/>
        <v>0</v>
      </c>
      <c r="DU41" s="11">
        <f t="shared" si="5"/>
        <v>0</v>
      </c>
      <c r="DV41" s="11">
        <f t="shared" si="5"/>
        <v>0</v>
      </c>
      <c r="DW41" s="11">
        <f t="shared" si="5"/>
        <v>0</v>
      </c>
      <c r="DX41" s="11">
        <f t="shared" si="5"/>
        <v>0</v>
      </c>
      <c r="DY41" s="11">
        <f t="shared" si="5"/>
        <v>0</v>
      </c>
      <c r="DZ41" s="11">
        <f t="shared" si="5"/>
        <v>0</v>
      </c>
      <c r="EA41" s="11">
        <f t="shared" si="5"/>
        <v>0</v>
      </c>
      <c r="EB41" s="14">
        <f t="shared" si="5"/>
        <v>0</v>
      </c>
    </row>
    <row r="42" spans="1:132" ht="18">
      <c r="B42" s="2" t="s">
        <v>21</v>
      </c>
      <c r="C42" s="1">
        <f>B10</f>
        <v>0</v>
      </c>
      <c r="D42" s="1" t="s">
        <v>20</v>
      </c>
      <c r="AB42" s="1">
        <f>AB41</f>
        <v>0.2</v>
      </c>
      <c r="AC42" s="1">
        <f t="shared" si="2"/>
        <v>0</v>
      </c>
      <c r="AF42" s="1"/>
      <c r="AG42" s="1"/>
      <c r="AH42" s="2" t="s">
        <v>36</v>
      </c>
      <c r="AI42" s="1">
        <f>C46*C41-AI41</f>
        <v>3.375</v>
      </c>
      <c r="AJ42" s="1"/>
      <c r="AK42" s="1"/>
      <c r="AL42" s="2" t="s">
        <v>36</v>
      </c>
      <c r="AM42" s="1">
        <f>C44*C40^2/(2*C43)</f>
        <v>1.125</v>
      </c>
      <c r="AN42" s="1"/>
      <c r="AO42" s="2" t="s">
        <v>36</v>
      </c>
      <c r="AP42" s="1">
        <f>C48*C42-AP41</f>
        <v>0</v>
      </c>
      <c r="AQ42" s="1"/>
      <c r="AR42" s="12"/>
      <c r="AS42" s="13" t="s">
        <v>37</v>
      </c>
      <c r="AT42" s="11">
        <f>IF(AT37&lt;$C$40,$AM$39*AT37-$AM$37*AT37^3/6,$AM$40*($C$43-AT37))</f>
        <v>0</v>
      </c>
      <c r="AU42" s="11">
        <f>IF(AU37&lt;$C$40,$AM$39*AU37-$AM$37*AU37^3/6,$AM$40*($C$43-AU37))</f>
        <v>0</v>
      </c>
      <c r="AV42" s="11">
        <f>IF(AV37&lt;$C$40,$AM$39*AV37-$AM$37*AV37^3/6,$AM$40*($C$43-AV37))</f>
        <v>0</v>
      </c>
      <c r="AW42" s="11">
        <f>IF(AW37&lt;$C$40,$AM$39*AW37-$AM$37*AW37^3/6,$AM$40*($C$43-AW37))</f>
        <v>0</v>
      </c>
      <c r="AX42" s="11">
        <f>IF(AX37&lt;$C$40,$AM$39*AX37-$AM$37*AX37^3/6,$AM$40*($C$43-AX37))</f>
        <v>0</v>
      </c>
      <c r="AY42" s="11">
        <f>IF(AY37&lt;$C$40,$AM$39*AY37-$AM$37*AY37^3/6,$AM$40*($C$43-AY37))</f>
        <v>0</v>
      </c>
      <c r="AZ42" s="11">
        <f>IF(AZ37&lt;$C$40,$AM$39*AZ37-$AM$37*AZ37^3/6,$AM$40*($C$43-AZ37))</f>
        <v>0</v>
      </c>
      <c r="BA42" s="11">
        <f>IF(BA37&lt;$C$40,$AM$39*BA37-$AM$37*BA37^3/6,$AM$40*($C$43-BA37))</f>
        <v>0</v>
      </c>
      <c r="BB42" s="11">
        <f>IF(BB37&lt;$C$40,$AM$39*BB37-$AM$37*BB37^3/6,$AM$40*($C$43-BB37))</f>
        <v>0</v>
      </c>
      <c r="BC42" s="11">
        <f>IF(BC37&lt;$C$40,$AM$39*BC37-$AM$37*BC37^3/6,$AM$40*($C$43-BC37))</f>
        <v>0</v>
      </c>
      <c r="BD42" s="11">
        <f>IF(BD37&lt;$C$40,$AM$39*BD37-$AM$37*BD37^3/6,$AM$40*($C$43-BD37))</f>
        <v>0</v>
      </c>
      <c r="BE42" s="11">
        <f>IF(BE37&lt;$C$40,$AM$39*BE37-$AM$37*BE37^3/6,$AM$40*($C$43-BE37))</f>
        <v>0</v>
      </c>
      <c r="BF42" s="11">
        <f>IF(BF37&lt;$C$40,$AM$39*BF37-$AM$37*BF37^3/6,$AM$40*($C$43-BF37))</f>
        <v>0</v>
      </c>
      <c r="BG42" s="11">
        <f>IF(BG37&lt;$C$40,$AM$39*BG37-$AM$37*BG37^3/6,$AM$40*($C$43-BG37))</f>
        <v>0</v>
      </c>
      <c r="BH42" s="11">
        <f>IF(BH37&lt;$C$40,$AM$39*BH37-$AM$37*BH37^3/6,$AM$40*($C$43-BH37))</f>
        <v>0</v>
      </c>
      <c r="BI42" s="11">
        <f>IF(BI37&lt;$C$40,$AM$39*BI37-$AM$37*BI37^3/6,$AM$40*($C$43-BI37))</f>
        <v>0</v>
      </c>
      <c r="BJ42" s="11">
        <f>IF(BJ37&lt;$C$40,$AM$39*BJ37-$AM$37*BJ37^3/6,$AM$40*($C$43-BJ37))</f>
        <v>0</v>
      </c>
      <c r="BK42" s="11">
        <f>IF(BK37&lt;$C$40,$AM$39*BK37-$AM$37*BK37^3/6,$AM$40*($C$43-BK37))</f>
        <v>0</v>
      </c>
      <c r="BL42" s="11">
        <f>IF(BL37&lt;$C$40,$AM$39*BL37-$AM$37*BL37^3/6,$AM$40*($C$43-BL37))</f>
        <v>0</v>
      </c>
      <c r="BM42" s="11">
        <f>IF(BM37&lt;$C$40,$AM$39*BM37-$AM$37*BM37^3/6,$AM$40*($C$43-BM37))</f>
        <v>0</v>
      </c>
      <c r="BN42" s="11">
        <f>IF(BN37&lt;$C$40,$AM$39*BN37-$AM$37*BN37^3/6,$AM$40*($C$43-BN37))</f>
        <v>0</v>
      </c>
      <c r="BO42" s="11">
        <f>IF(BO37&lt;$C$40,$AM$39*BO37-$AM$37*BO37^3/6,$AM$40*($C$43-BO37))</f>
        <v>0</v>
      </c>
      <c r="BP42" s="11">
        <f>IF(BP37&lt;$C$40,$AM$39*BP37-$AM$37*BP37^3/6,$AM$40*($C$43-BP37))</f>
        <v>0</v>
      </c>
      <c r="BQ42" s="11">
        <f>IF(BQ37&lt;$C$40,$AM$39*BQ37-$AM$37*BQ37^3/6,$AM$40*($C$43-BQ37))</f>
        <v>0</v>
      </c>
      <c r="BR42" s="11">
        <f>IF(BR37&lt;$C$40,$AM$39*BR37-$AM$37*BR37^3/6,$AM$40*($C$43-BR37))</f>
        <v>0</v>
      </c>
      <c r="BS42" s="11"/>
      <c r="BT42" s="11"/>
      <c r="BU42" s="11"/>
      <c r="BV42" s="11"/>
      <c r="BW42" s="12"/>
      <c r="BX42" s="13" t="s">
        <v>37</v>
      </c>
      <c r="BY42" s="11">
        <f>IF(OR(AT37&lt;$C$40,AT37=$C$40),$AI$39*AT37,IF(AND(AT37&gt;$C$40,AT37&lt;$C$40+$C$41),$AI$39*AT37-$AI$37*(AT37-$C$40)^3/6,$AI$40*($C$43-AT37)))</f>
        <v>0</v>
      </c>
      <c r="BZ42" s="11">
        <f>IF(OR(AU37&lt;'cant-pin-pin'!$C$40,AU37='cant-pin-pin'!$C$40),$AI$39*AU37,IF(AND(AU37&gt;'cant-pin-pin'!$C$40,AU37&lt;'cant-pin-pin'!$C$40+'cant-pin-pin'!$C$41),$AI$39*AU37-$AI$37*(AU37-'cant-pin-pin'!$C$40)^3/6,$AI$40*('cant-pin-pin'!$C$43-AU37)))</f>
        <v>1.0416666666666667E-4</v>
      </c>
      <c r="CA42" s="11">
        <f>IF(OR(AV37&lt;'cant-pin-pin'!$C$40,AV37='cant-pin-pin'!$C$40),$AI$39*AV37,IF(AND(AV37&gt;'cant-pin-pin'!$C$40,AV37&lt;'cant-pin-pin'!$C$40+'cant-pin-pin'!$C$41),$AI$39*AV37-$AI$37*(AV37-'cant-pin-pin'!$C$40)^3/6,$AI$40*('cant-pin-pin'!$C$43-AV37)))</f>
        <v>2.0833333333333335E-4</v>
      </c>
      <c r="CB42" s="11">
        <f>IF(OR(AW37&lt;'cant-pin-pin'!$C$40,AW37='cant-pin-pin'!$C$40),$AI$39*AW37,IF(AND(AW37&gt;'cant-pin-pin'!$C$40,AW37&lt;'cant-pin-pin'!$C$40+'cant-pin-pin'!$C$41),$AI$39*AW37-$AI$37*(AW37-'cant-pin-pin'!$C$40)^3/6,$AI$40*('cant-pin-pin'!$C$43-AW37)))</f>
        <v>3.1250000000000006E-4</v>
      </c>
      <c r="CC42" s="11">
        <f>IF(OR(AX37&lt;'cant-pin-pin'!$C$40,AX37='cant-pin-pin'!$C$40),$AI$39*AX37,IF(AND(AX37&gt;'cant-pin-pin'!$C$40,AX37&lt;'cant-pin-pin'!$C$40+'cant-pin-pin'!$C$41),$AI$39*AX37-$AI$37*(AX37-'cant-pin-pin'!$C$40)^3/6,$AI$40*('cant-pin-pin'!$C$43-AX37)))</f>
        <v>4.1666666666666669E-4</v>
      </c>
      <c r="CD42" s="11">
        <f>IF(OR(AY37&lt;'cant-pin-pin'!$C$40,AY37='cant-pin-pin'!$C$40),$AI$39*AY37,IF(AND(AY37&gt;'cant-pin-pin'!$C$40,AY37&lt;'cant-pin-pin'!$C$40+'cant-pin-pin'!$C$41),$AI$39*AY37-$AI$37*(AY37-'cant-pin-pin'!$C$40)^3/6,$AI$40*('cant-pin-pin'!$C$43-AY37)))</f>
        <v>5.2083333333333333E-4</v>
      </c>
      <c r="CE42" s="11">
        <f>IF(OR(AZ37&lt;'cant-pin-pin'!$C$40,AZ37='cant-pin-pin'!$C$40),$AI$39*AZ37,IF(AND(AZ37&gt;'cant-pin-pin'!$C$40,AZ37&lt;'cant-pin-pin'!$C$40+'cant-pin-pin'!$C$41),$AI$39*AZ37-$AI$37*(AZ37-'cant-pin-pin'!$C$40)^3/6,$AI$40*('cant-pin-pin'!$C$43-AZ37)))</f>
        <v>6.2500000000000012E-4</v>
      </c>
      <c r="CF42" s="11">
        <f>IF(OR(BA37&lt;'cant-pin-pin'!$C$40,BA37='cant-pin-pin'!$C$40),$AI$39*BA37,IF(AND(BA37&gt;'cant-pin-pin'!$C$40,BA37&lt;'cant-pin-pin'!$C$40+'cant-pin-pin'!$C$41),$AI$39*BA37-$AI$37*(BA37-'cant-pin-pin'!$C$40)^3/6,$AI$40*('cant-pin-pin'!$C$43-BA37)))</f>
        <v>7.291666666666667E-4</v>
      </c>
      <c r="CG42" s="11">
        <f>IF(OR(BB37&lt;'cant-pin-pin'!$C$40,BB37='cant-pin-pin'!$C$40),$AI$39*BB37,IF(AND(BB37&gt;'cant-pin-pin'!$C$40,BB37&lt;'cant-pin-pin'!$C$40+'cant-pin-pin'!$C$41),$AI$39*BB37-$AI$37*(BB37-'cant-pin-pin'!$C$40)^3/6,$AI$40*('cant-pin-pin'!$C$43-BB37)))</f>
        <v>8.3333333333333339E-4</v>
      </c>
      <c r="CH42" s="11">
        <f>IF(OR(BC37&lt;'cant-pin-pin'!$C$40,BC37='cant-pin-pin'!$C$40),$AI$39*BC37,IF(AND(BC37&gt;'cant-pin-pin'!$C$40,BC37&lt;'cant-pin-pin'!$C$40+'cant-pin-pin'!$C$41),$AI$39*BC37-$AI$37*(BC37-'cant-pin-pin'!$C$40)^3/6,$AI$40*('cant-pin-pin'!$C$43-BC37)))</f>
        <v>9.3424479166666677E-4</v>
      </c>
      <c r="CI42" s="11">
        <f>IF(OR(BD37&lt;'cant-pin-pin'!$C$40,BD37='cant-pin-pin'!$C$40),$AI$39*BD37,IF(AND(BD37&gt;'cant-pin-pin'!$C$40,BD37&lt;'cant-pin-pin'!$C$40+'cant-pin-pin'!$C$41),$AI$39*BD37-$AI$37*(BD37-'cant-pin-pin'!$C$40)^3/6,$AI$40*('cant-pin-pin'!$C$43-BD37)))</f>
        <v>1.015625E-3</v>
      </c>
      <c r="CJ42" s="11">
        <f>IF(OR(BE37&lt;'cant-pin-pin'!$C$40,BE37='cant-pin-pin'!$C$40),$AI$39*BE37,IF(AND(BE37&gt;'cant-pin-pin'!$C$40,BE37&lt;'cant-pin-pin'!$C$40+'cant-pin-pin'!$C$41),$AI$39*BE37-$AI$37*(BE37-'cant-pin-pin'!$C$40)^3/6,$AI$40*('cant-pin-pin'!$C$43-BE37)))</f>
        <v>1.0579427083333333E-3</v>
      </c>
      <c r="CK42" s="11">
        <f>IF(OR(BF37&lt;'cant-pin-pin'!$C$40,BF37='cant-pin-pin'!$C$40),$AI$39*BF37,IF(AND(BF37&gt;'cant-pin-pin'!$C$40,BF37&lt;'cant-pin-pin'!$C$40+'cant-pin-pin'!$C$41),$AI$39*BF37-$AI$37*(BF37-'cant-pin-pin'!$C$40)^3/6,$AI$40*('cant-pin-pin'!$C$43-BF37)))</f>
        <v>1.0416666666666667E-3</v>
      </c>
      <c r="CL42" s="11">
        <f>IF(OR(BG37&lt;'cant-pin-pin'!$C$40,BG37='cant-pin-pin'!$C$40),$AI$39*BG37,IF(AND(BG37&gt;'cant-pin-pin'!$C$40,BG37&lt;'cant-pin-pin'!$C$40+'cant-pin-pin'!$C$41),$AI$39*BG37-$AI$37*(BG37-'cant-pin-pin'!$C$40)^3/6,$AI$40*('cant-pin-pin'!$C$43-BG37)))</f>
        <v>9.4726562499999976E-4</v>
      </c>
      <c r="CM42" s="11">
        <f>IF(OR(BH37&lt;'cant-pin-pin'!$C$40,BH37='cant-pin-pin'!$C$40),$AI$39*BH37,IF(AND(BH37&gt;'cant-pin-pin'!$C$40,BH37&lt;'cant-pin-pin'!$C$40+'cant-pin-pin'!$C$41),$AI$39*BH37-$AI$37*(BH37-'cant-pin-pin'!$C$40)^3/6,$AI$40*('cant-pin-pin'!$C$43-BH37)))</f>
        <v>7.5520833333333256E-4</v>
      </c>
      <c r="CN42" s="11">
        <f>IF(OR(BI37&lt;'cant-pin-pin'!$C$40,BI37='cant-pin-pin'!$C$40),$AI$39*BI37,IF(AND(BI37&gt;'cant-pin-pin'!$C$40,BI37&lt;'cant-pin-pin'!$C$40+'cant-pin-pin'!$C$41),$AI$39*BI37-$AI$37*(BI37-'cant-pin-pin'!$C$40)^3/6,$AI$40*('cant-pin-pin'!$C$43-BI37)))</f>
        <v>4.4596354166666612E-4</v>
      </c>
      <c r="CO42" s="11">
        <f>IF(OR(BJ37&lt;'cant-pin-pin'!$C$40,BJ37='cant-pin-pin'!$C$40),$AI$39*BJ37,IF(AND(BJ37&gt;'cant-pin-pin'!$C$40,BJ37&lt;'cant-pin-pin'!$C$40+'cant-pin-pin'!$C$41),$AI$39*BJ37-$AI$37*(BJ37-'cant-pin-pin'!$C$40)^3/6,$AI$40*('cant-pin-pin'!$C$43-BJ37)))</f>
        <v>0</v>
      </c>
      <c r="CP42" s="11">
        <f>IF(OR(BK37&lt;'cant-pin-pin'!$C$40,BK37='cant-pin-pin'!$C$40),$AI$39*BK37,IF(AND(BK37&gt;'cant-pin-pin'!$C$40,BK37&lt;'cant-pin-pin'!$C$40+'cant-pin-pin'!$C$41),$AI$39*BK37-$AI$37*(BK37-'cant-pin-pin'!$C$40)^3/6,$AI$40*('cant-pin-pin'!$C$43-BK37)))</f>
        <v>0</v>
      </c>
      <c r="CQ42" s="11">
        <f>IF(OR(BL37&lt;'cant-pin-pin'!$C$40,BL37='cant-pin-pin'!$C$40),$AI$39*BL37,IF(AND(BL37&gt;'cant-pin-pin'!$C$40,BL37&lt;'cant-pin-pin'!$C$40+'cant-pin-pin'!$C$41),$AI$39*BL37-$AI$37*(BL37-'cant-pin-pin'!$C$40)^3/6,$AI$40*('cant-pin-pin'!$C$43-BL37)))</f>
        <v>0</v>
      </c>
      <c r="CR42" s="11">
        <f>IF(OR(BM37&lt;'cant-pin-pin'!$C$40,BM37='cant-pin-pin'!$C$40),$AI$39*BM37,IF(AND(BM37&gt;'cant-pin-pin'!$C$40,BM37&lt;'cant-pin-pin'!$C$40+'cant-pin-pin'!$C$41),$AI$39*BM37-$AI$37*(BM37-'cant-pin-pin'!$C$40)^3/6,$AI$40*('cant-pin-pin'!$C$43-BM37)))</f>
        <v>0</v>
      </c>
      <c r="CS42" s="11">
        <f>IF(OR(BN37&lt;'cant-pin-pin'!$C$40,BN37='cant-pin-pin'!$C$40),$AI$39*BN37,IF(AND(BN37&gt;'cant-pin-pin'!$C$40,BN37&lt;'cant-pin-pin'!$C$40+'cant-pin-pin'!$C$41),$AI$39*BN37-$AI$37*(BN37-'cant-pin-pin'!$C$40)^3/6,$AI$40*('cant-pin-pin'!$C$43-BN37)))</f>
        <v>0</v>
      </c>
      <c r="CT42" s="11">
        <f>IF(OR(BO37&lt;'cant-pin-pin'!$C$40,BO37='cant-pin-pin'!$C$40),$AI$39*BO37,IF(AND(BO37&gt;'cant-pin-pin'!$C$40,BO37&lt;'cant-pin-pin'!$C$40+'cant-pin-pin'!$C$41),$AI$39*BO37-$AI$37*(BO37-'cant-pin-pin'!$C$40)^3/6,$AI$40*('cant-pin-pin'!$C$43-BO37)))</f>
        <v>0</v>
      </c>
      <c r="CU42" s="11">
        <f>IF(OR(BP37&lt;'cant-pin-pin'!$C$40,BP37='cant-pin-pin'!$C$40),$AI$39*BP37,IF(AND(BP37&gt;'cant-pin-pin'!$C$40,BP37&lt;'cant-pin-pin'!$C$40+'cant-pin-pin'!$C$41),$AI$39*BP37-$AI$37*(BP37-'cant-pin-pin'!$C$40)^3/6,$AI$40*('cant-pin-pin'!$C$43-BP37)))</f>
        <v>0</v>
      </c>
      <c r="CV42" s="11">
        <f>IF(OR(BQ37&lt;'cant-pin-pin'!$C$40,BQ37='cant-pin-pin'!$C$40),$AI$39*BQ37,IF(AND(BQ37&gt;'cant-pin-pin'!$C$40,BQ37&lt;'cant-pin-pin'!$C$40+'cant-pin-pin'!$C$41),$AI$39*BQ37-$AI$37*(BQ37-'cant-pin-pin'!$C$40)^3/6,$AI$40*('cant-pin-pin'!$C$43-BQ37)))</f>
        <v>0</v>
      </c>
      <c r="CW42" s="14">
        <f>IF(OR(BR37&lt;'cant-pin-pin'!$C$40,BR37='cant-pin-pin'!$C$40),$AI$39*BR37,IF(AND(BR37&gt;'cant-pin-pin'!$C$40,BR37&lt;'cant-pin-pin'!$C$40+'cant-pin-pin'!$C$41),$AI$39*BR37-$AI$37*(BR37-'cant-pin-pin'!$C$40)^3/6,$AI$40*('cant-pin-pin'!$C$43-BR37)))</f>
        <v>0</v>
      </c>
      <c r="DB42" s="12"/>
      <c r="DC42" s="13" t="s">
        <v>37</v>
      </c>
      <c r="DD42" s="11">
        <f>IF(AT37&lt;$C$43-$C$42,$AP$39*AT37,$AP$39*AT37-$AP$37*(AT37-$C$40-$C$41)^3/6)</f>
        <v>0</v>
      </c>
      <c r="DE42" s="11">
        <f>IF(AU37&lt;$C$43-$C$42,$AP$39*AU37,$AP$39*AU37-$AP$37*(AU37-$C$40-$C$41)^3/6)</f>
        <v>0</v>
      </c>
      <c r="DF42" s="11">
        <f>IF(AV37&lt;$C$43-$C$42,$AP$39*AV37,$AP$39*AV37-$AP$37*(AV37-$C$40-$C$41)^3/6)</f>
        <v>0</v>
      </c>
      <c r="DG42" s="11">
        <f>IF(AW37&lt;$C$43-$C$42,$AP$39*AW37,$AP$39*AW37-$AP$37*(AW37-$C$40-$C$41)^3/6)</f>
        <v>0</v>
      </c>
      <c r="DH42" s="11">
        <f>IF(AX37&lt;$C$43-$C$42,$AP$39*AX37,$AP$39*AX37-$AP$37*(AX37-$C$40-$C$41)^3/6)</f>
        <v>0</v>
      </c>
      <c r="DI42" s="11">
        <f>IF(AY37&lt;$C$43-$C$42,$AP$39*AY37,$AP$39*AY37-$AP$37*(AY37-$C$40-$C$41)^3/6)</f>
        <v>0</v>
      </c>
      <c r="DJ42" s="11">
        <f>IF(AZ37&lt;$C$43-$C$42,$AP$39*AZ37,$AP$39*AZ37-$AP$37*(AZ37-$C$40-$C$41)^3/6)</f>
        <v>0</v>
      </c>
      <c r="DK42" s="11">
        <f>IF(BA37&lt;$C$43-$C$42,$AP$39*BA37,$AP$39*BA37-$AP$37*(BA37-$C$40-$C$41)^3/6)</f>
        <v>0</v>
      </c>
      <c r="DL42" s="11">
        <f>IF(BB37&lt;$C$43-$C$42,$AP$39*BB37,$AP$39*BB37-$AP$37*(BB37-$C$40-$C$41)^3/6)</f>
        <v>0</v>
      </c>
      <c r="DM42" s="11">
        <f>IF(BC37&lt;$C$43-$C$42,$AP$39*BC37,$AP$39*BC37-$AP$37*(BC37-$C$40-$C$41)^3/6)</f>
        <v>0</v>
      </c>
      <c r="DN42" s="11">
        <f>IF(BD37&lt;$C$43-$C$42,$AP$39*BD37,$AP$39*BD37-$AP$37*(BD37-$C$40-$C$41)^3/6)</f>
        <v>0</v>
      </c>
      <c r="DO42" s="11">
        <f>IF(BE37&lt;$C$43-$C$42,$AP$39*BE37,$AP$39*BE37-$AP$37*(BE37-$C$40-$C$41)^3/6)</f>
        <v>0</v>
      </c>
      <c r="DP42" s="11">
        <f>IF(BF37&lt;$C$43-$C$42,$AP$39*BF37,$AP$39*BF37-$AP$37*(BF37-$C$40-$C$41)^3/6)</f>
        <v>0</v>
      </c>
      <c r="DQ42" s="11">
        <f>IF(BG37&lt;$C$43-$C$42,$AP$39*BG37,$AP$39*BG37-$AP$37*(BG37-$C$40-$C$41)^3/6)</f>
        <v>0</v>
      </c>
      <c r="DR42" s="11">
        <f>IF(BH37&lt;$C$43-$C$42,$AP$39*BH37,$AP$39*BH37-$AP$37*(BH37-$C$40-$C$41)^3/6)</f>
        <v>0</v>
      </c>
      <c r="DS42" s="11">
        <f>IF(BI37&lt;$C$43-$C$42,$AP$39*BI37,$AP$39*BI37-$AP$37*(BI37-$C$40-$C$41)^3/6)</f>
        <v>0</v>
      </c>
      <c r="DT42" s="11">
        <f>IF(BJ37&lt;$C$43-$C$42,$AP$39*BJ37,$AP$39*BJ37-$AP$37*(BJ37-$C$40-$C$41)^3/6)</f>
        <v>0</v>
      </c>
      <c r="DU42" s="11">
        <f>IF(BK37&lt;$C$43-$C$42,$AP$39*BK37,$AP$39*BK37-$AP$37*(BK37-$C$40-$C$41)^3/6)</f>
        <v>0</v>
      </c>
      <c r="DV42" s="11">
        <f>IF(BL37&lt;$C$43-$C$42,$AP$39*BL37,$AP$39*BL37-$AP$37*(BL37-$C$40-$C$41)^3/6)</f>
        <v>0</v>
      </c>
      <c r="DW42" s="11">
        <f>IF(BM37&lt;$C$43-$C$42,$AP$39*BM37,$AP$39*BM37-$AP$37*(BM37-$C$40-$C$41)^3/6)</f>
        <v>0</v>
      </c>
      <c r="DX42" s="11">
        <f>IF(BN37&lt;$C$43-$C$42,$AP$39*BN37,$AP$39*BN37-$AP$37*(BN37-$C$40-$C$41)^3/6)</f>
        <v>0</v>
      </c>
      <c r="DY42" s="11">
        <f>IF(BO37&lt;$C$43-$C$42,$AP$39*BO37,$AP$39*BO37-$AP$37*(BO37-$C$40-$C$41)^3/6)</f>
        <v>0</v>
      </c>
      <c r="DZ42" s="11">
        <f>IF(BP37&lt;$C$43-$C$42,$AP$39*BP37,$AP$39*BP37-$AP$37*(BP37-$C$40-$C$41)^3/6)</f>
        <v>0</v>
      </c>
      <c r="EA42" s="11">
        <f>IF(BQ37&lt;$C$43-$C$42,$AP$39*BQ37,$AP$39*BQ37-$AP$37*(BQ37-$C$40-$C$41)^3/6)</f>
        <v>0</v>
      </c>
      <c r="EB42" s="11">
        <f>IF(BR37&lt;$C$43-$C$42,$AP$39*BR37,$AP$39*BR37-$AP$37*(BR37-$C$40-$C$41)^3/6)</f>
        <v>0</v>
      </c>
    </row>
    <row r="43" spans="1:132">
      <c r="B43" s="2" t="s">
        <v>31</v>
      </c>
      <c r="C43" s="1">
        <f>SUM(C40:C42)</f>
        <v>0.2</v>
      </c>
      <c r="D43" s="1" t="s">
        <v>20</v>
      </c>
      <c r="AB43" s="1">
        <f>C43</f>
        <v>0.2</v>
      </c>
      <c r="AC43" s="1">
        <f t="shared" si="2"/>
        <v>0</v>
      </c>
      <c r="AF43" s="1"/>
      <c r="AG43" s="1"/>
      <c r="AH43" s="2" t="s">
        <v>39</v>
      </c>
      <c r="AI43" s="1">
        <f>AI39+AI41</f>
        <v>1.1333333333333333</v>
      </c>
      <c r="AJ43" s="1"/>
      <c r="AK43" s="1"/>
      <c r="AL43" s="2" t="s">
        <v>39</v>
      </c>
      <c r="AM43" s="1">
        <f>AM39+AM41</f>
        <v>3.375</v>
      </c>
      <c r="AN43" s="1"/>
      <c r="AO43" s="1"/>
      <c r="AP43" s="1"/>
      <c r="AQ43" s="1"/>
      <c r="AR43" s="12"/>
      <c r="AS43" s="13" t="s">
        <v>40</v>
      </c>
      <c r="AT43" s="11">
        <f>IF(AT37&lt;$C$40,$AM$41*AT37-$C$44*AT37^2/2,$AM$42*($C$43-AT37))</f>
        <v>0</v>
      </c>
      <c r="AU43" s="11">
        <f>IF(AU37&lt;$C$40,$AM$41*AU37-$C$44*AU37^2/2,$AM$42*($C$43-AU37))</f>
        <v>3.8671875000000001E-2</v>
      </c>
      <c r="AV43" s="11">
        <f>IF(AV37&lt;$C$40,$AM$41*AV37-$C$44*AV37^2/2,$AM$42*($C$43-AV37))</f>
        <v>7.03125E-2</v>
      </c>
      <c r="AW43" s="11">
        <f>IF(AW37&lt;$C$40,$AM$41*AW37-$C$44*AW37^2/2,$AM$42*($C$43-AW37))</f>
        <v>9.4921875000000017E-2</v>
      </c>
      <c r="AX43" s="11">
        <f>IF(AX37&lt;$C$40,$AM$41*AX37-$C$44*AX37^2/2,$AM$42*($C$43-AX37))</f>
        <v>0.1125</v>
      </c>
      <c r="AY43" s="11">
        <f>IF(AY37&lt;$C$40,$AM$41*AY37-$C$44*AY37^2/2,$AM$42*($C$43-AY37))</f>
        <v>0.123046875</v>
      </c>
      <c r="AZ43" s="11">
        <f>IF(AZ37&lt;$C$40,$AM$41*AZ37-$C$44*AZ37^2/2,$AM$42*($C$43-AZ37))</f>
        <v>0.12656250000000002</v>
      </c>
      <c r="BA43" s="11">
        <f>IF(BA37&lt;$C$40,$AM$41*BA37-$C$44*BA37^2/2,$AM$42*($C$43-BA37))</f>
        <v>0.123046875</v>
      </c>
      <c r="BB43" s="11">
        <f>IF(BB37&lt;$C$40,$AM$41*BB37-$C$44*BB37^2/2,$AM$42*($C$43-BB37))</f>
        <v>0.1125</v>
      </c>
      <c r="BC43" s="11">
        <f>IF(BC37&lt;$C$40,$AM$41*BC37-$C$44*BC37^2/2,$AM$42*($C$43-BC37))</f>
        <v>9.8437499999999997E-2</v>
      </c>
      <c r="BD43" s="11">
        <f>IF(BD37&lt;$C$40,$AM$41*BD37-$C$44*BD37^2/2,$AM$42*($C$43-BD37))</f>
        <v>8.4374999999999978E-2</v>
      </c>
      <c r="BE43" s="11">
        <f>IF(BE37&lt;$C$40,$AM$41*BE37-$C$44*BE37^2/2,$AM$42*($C$43-BE37))</f>
        <v>7.03125E-2</v>
      </c>
      <c r="BF43" s="11">
        <f>IF(BF37&lt;$C$40,$AM$41*BF37-$C$44*BF37^2/2,$AM$42*($C$43-BF37))</f>
        <v>5.6249999999999988E-2</v>
      </c>
      <c r="BG43" s="11">
        <f>IF(BG37&lt;$C$40,$AM$41*BG37-$C$44*BG37^2/2,$AM$42*($C$43-BG37))</f>
        <v>4.2187499999999975E-2</v>
      </c>
      <c r="BH43" s="11">
        <f>IF(BH37&lt;$C$40,$AM$41*BH37-$C$44*BH37^2/2,$AM$42*($C$43-BH37))</f>
        <v>2.8124999999999963E-2</v>
      </c>
      <c r="BI43" s="11">
        <f>IF(BI37&lt;$C$40,$AM$41*BI37-$C$44*BI37^2/2,$AM$42*($C$43-BI37))</f>
        <v>1.4062499999999981E-2</v>
      </c>
      <c r="BJ43" s="11">
        <f>IF(BJ37&lt;$C$40,$AM$41*BJ37-$C$44*BJ37^2/2,$AM$42*($C$43-BJ37))</f>
        <v>0</v>
      </c>
      <c r="BK43" s="11">
        <f>IF(BK37&lt;$C$40,$AM$41*BK37-$C$44*BK37^2/2,$AM$42*($C$43-BK37))</f>
        <v>0</v>
      </c>
      <c r="BL43" s="11">
        <f>IF(BL37&lt;$C$40,$AM$41*BL37-$C$44*BL37^2/2,$AM$42*($C$43-BL37))</f>
        <v>0</v>
      </c>
      <c r="BM43" s="11">
        <f>IF(BM37&lt;$C$40,$AM$41*BM37-$C$44*BM37^2/2,$AM$42*($C$43-BM37))</f>
        <v>0</v>
      </c>
      <c r="BN43" s="11">
        <f>IF(BN37&lt;$C$40,$AM$41*BN37-$C$44*BN37^2/2,$AM$42*($C$43-BN37))</f>
        <v>0</v>
      </c>
      <c r="BO43" s="11">
        <f>IF(BO37&lt;$C$40,$AM$41*BO37-$C$44*BO37^2/2,$AM$42*($C$43-BO37))</f>
        <v>0</v>
      </c>
      <c r="BP43" s="11">
        <f>IF(BP37&lt;$C$40,$AM$41*BP37-$C$44*BP37^2/2,$AM$42*($C$43-BP37))</f>
        <v>0</v>
      </c>
      <c r="BQ43" s="11">
        <f>IF(BQ37&lt;$C$40,$AM$41*BQ37-$C$44*BQ37^2/2,$AM$42*($C$43-BQ37))</f>
        <v>0</v>
      </c>
      <c r="BR43" s="11">
        <f>IF(BR37&lt;$C$40,$AM$41*BR37-$C$44*BR37^2/2,$AM$42*($C$43-BR37))</f>
        <v>0</v>
      </c>
      <c r="BS43" s="11"/>
      <c r="BT43" s="11"/>
      <c r="BU43" s="11"/>
      <c r="BV43" s="11"/>
      <c r="BW43" s="12"/>
      <c r="BX43" s="13" t="s">
        <v>40</v>
      </c>
      <c r="BY43" s="11">
        <f>IF(OR(AT37&lt;$C$40,AT37=$C$40),$AI$41*AT37,IF(AND(AT37&gt;$C$40,AT37&lt;$C$40+$C$41),$AI$41*AT37-$C$46*(AT37-$C$40)^2/2,$AI$42*($C$43-AT37)))</f>
        <v>0</v>
      </c>
      <c r="BZ43" s="11">
        <f>IF(OR(AU37&lt;$C$40,AU37=$C$40),$AI$41*AU37,IF(AND(AU37&gt;$C$40,AU37&lt;$C$40+$C$41),$AI$41*AU37-$C$46*(AU37-$C$40)^2/2,$AI$42*($C$43-AU37)))</f>
        <v>1.40625E-2</v>
      </c>
      <c r="CA43" s="11">
        <f>IF(OR(AV37&lt;$C$40,AV37=$C$40),$AI$41*AV37,IF(AND(AV37&gt;$C$40,AV37&lt;$C$40+$C$41),$AI$41*AV37-$C$46*(AV37-$C$40)^2/2,$AI$42*($C$43-AV37)))</f>
        <v>2.8125000000000001E-2</v>
      </c>
      <c r="CB43" s="11">
        <f>IF(OR(AW37&lt;$C$40,AW37=$C$40),$AI$41*AW37,IF(AND(AW37&gt;$C$40,AW37&lt;$C$40+$C$41),$AI$41*AW37-$C$46*(AW37-$C$40)^2/2,$AI$42*($C$43-AW37)))</f>
        <v>4.2187500000000003E-2</v>
      </c>
      <c r="CC43" s="11">
        <f>IF(OR(AX37&lt;$C$40,AX37=$C$40),$AI$41*AX37,IF(AND(AX37&gt;$C$40,AX37&lt;$C$40+$C$41),$AI$41*AX37-$C$46*(AX37-$C$40)^2/2,$AI$42*($C$43-AX37)))</f>
        <v>5.6250000000000001E-2</v>
      </c>
      <c r="CD43" s="11">
        <f>IF(OR(AY37&lt;$C$40,AY37=$C$40),$AI$41*AY37,IF(AND(AY37&gt;$C$40,AY37&lt;$C$40+$C$41),$AI$41*AY37-$C$46*(AY37-$C$40)^2/2,$AI$42*($C$43-AY37)))</f>
        <v>7.03125E-2</v>
      </c>
      <c r="CE43" s="11">
        <f>IF(OR(AZ37&lt;$C$40,AZ37=$C$40),$AI$41*AZ37,IF(AND(AZ37&gt;$C$40,AZ37&lt;$C$40+$C$41),$AI$41*AZ37-$C$46*(AZ37-$C$40)^2/2,$AI$42*($C$43-AZ37)))</f>
        <v>8.4375000000000006E-2</v>
      </c>
      <c r="CF43" s="11">
        <f>IF(OR(BA37&lt;$C$40,BA37=$C$40),$AI$41*BA37,IF(AND(BA37&gt;$C$40,BA37&lt;$C$40+$C$41),$AI$41*BA37-$C$46*(BA37-$C$40)^2/2,$AI$42*($C$43-BA37)))</f>
        <v>9.8437500000000011E-2</v>
      </c>
      <c r="CG43" s="11">
        <f>IF(OR(BB37&lt;$C$40,BB37=$C$40),$AI$41*BB37,IF(AND(BB37&gt;$C$40,BB37&lt;$C$40+$C$41),$AI$41*BB37-$C$46*(BB37-$C$40)^2/2,$AI$42*($C$43-BB37)))</f>
        <v>0.1125</v>
      </c>
      <c r="CH43" s="11">
        <f>IF(OR(BC37&lt;$C$40,BC37=$C$40),$AI$41*BC37,IF(AND(BC37&gt;$C$40,BC37&lt;$C$40+$C$41),$AI$41*BC37-$C$46*(BC37-$C$40)^2/2,$AI$42*($C$43-BC37)))</f>
        <v>0.12304687500000001</v>
      </c>
      <c r="CI43" s="11">
        <f>IF(OR(BD37&lt;$C$40,BD37=$C$40),$AI$41*BD37,IF(AND(BD37&gt;$C$40,BD37&lt;$C$40+$C$41),$AI$41*BD37-$C$46*(BD37-$C$40)^2/2,$AI$42*($C$43-BD37)))</f>
        <v>0.12656249999999999</v>
      </c>
      <c r="CJ43" s="11">
        <f>IF(OR(BE37&lt;$C$40,BE37=$C$40),$AI$41*BE37,IF(AND(BE37&gt;$C$40,BE37&lt;$C$40+$C$41),$AI$41*BE37-$C$46*(BE37-$C$40)^2/2,$AI$42*($C$43-BE37)))</f>
        <v>0.123046875</v>
      </c>
      <c r="CK43" s="11">
        <f>IF(OR(BF37&lt;$C$40,BF37=$C$40),$AI$41*BF37,IF(AND(BF37&gt;$C$40,BF37&lt;$C$40+$C$41),$AI$41*BF37-$C$46*(BF37-$C$40)^2/2,$AI$42*($C$43-BF37)))</f>
        <v>0.11249999999999996</v>
      </c>
      <c r="CL43" s="11">
        <f>IF(OR(BG37&lt;$C$40,BG37=$C$40),$AI$41*BG37,IF(AND(BG37&gt;$C$40,BG37&lt;$C$40+$C$41),$AI$41*BG37-$C$46*(BG37-$C$40)^2/2,$AI$42*($C$43-BG37)))</f>
        <v>9.4921874999999961E-2</v>
      </c>
      <c r="CM43" s="11">
        <f>IF(OR(BH37&lt;$C$40,BH37=$C$40),$AI$41*BH37,IF(AND(BH37&gt;$C$40,BH37&lt;$C$40+$C$41),$AI$41*BH37-$C$46*(BH37-$C$40)^2/2,$AI$42*($C$43-BH37)))</f>
        <v>7.0312499999999917E-2</v>
      </c>
      <c r="CN43" s="11">
        <f>IF(OR(BI37&lt;$C$40,BI37=$C$40),$AI$41*BI37,IF(AND(BI37&gt;$C$40,BI37&lt;$C$40+$C$41),$AI$41*BI37-$C$46*(BI37-$C$40)^2/2,$AI$42*($C$43-BI37)))</f>
        <v>3.8671874999999939E-2</v>
      </c>
      <c r="CO43" s="11">
        <f>IF(OR(BJ37&lt;$C$40,BJ37=$C$40),$AI$41*BJ37,IF(AND(BJ37&gt;$C$40,BJ37&lt;$C$40+$C$41),$AI$41*BJ37-$C$46*(BJ37-$C$40)^2/2,$AI$42*($C$43-BJ37)))</f>
        <v>0</v>
      </c>
      <c r="CP43" s="11">
        <f>IF(OR(BK37&lt;$C$40,BK37=$C$40),$AI$41*BK37,IF(AND(BK37&gt;$C$40,BK37&lt;$C$40+$C$41),$AI$41*BK37-$C$46*(BK37-$C$40)^2/2,$AI$42*($C$43-BK37)))</f>
        <v>0</v>
      </c>
      <c r="CQ43" s="11">
        <f>IF(OR(BL37&lt;$C$40,BL37=$C$40),$AI$41*BL37,IF(AND(BL37&gt;$C$40,BL37&lt;$C$40+$C$41),$AI$41*BL37-$C$46*(BL37-$C$40)^2/2,$AI$42*($C$43-BL37)))</f>
        <v>0</v>
      </c>
      <c r="CR43" s="11">
        <f>IF(OR(BM37&lt;$C$40,BM37=$C$40),$AI$41*BM37,IF(AND(BM37&gt;$C$40,BM37&lt;$C$40+$C$41),$AI$41*BM37-$C$46*(BM37-$C$40)^2/2,$AI$42*($C$43-BM37)))</f>
        <v>0</v>
      </c>
      <c r="CS43" s="11">
        <f>IF(OR(BN37&lt;$C$40,BN37=$C$40),$AI$41*BN37,IF(AND(BN37&gt;$C$40,BN37&lt;$C$40+$C$41),$AI$41*BN37-$C$46*(BN37-$C$40)^2/2,$AI$42*($C$43-BN37)))</f>
        <v>0</v>
      </c>
      <c r="CT43" s="11">
        <f>IF(OR(BO37&lt;$C$40,BO37=$C$40),$AI$41*BO37,IF(AND(BO37&gt;$C$40,BO37&lt;$C$40+$C$41),$AI$41*BO37-$C$46*(BO37-$C$40)^2/2,$AI$42*($C$43-BO37)))</f>
        <v>0</v>
      </c>
      <c r="CU43" s="11">
        <f>IF(OR(BP37&lt;$C$40,BP37=$C$40),$AI$41*BP37,IF(AND(BP37&gt;$C$40,BP37&lt;$C$40+$C$41),$AI$41*BP37-$C$46*(BP37-$C$40)^2/2,$AI$42*($C$43-BP37)))</f>
        <v>0</v>
      </c>
      <c r="CV43" s="11">
        <f>IF(OR(BQ37&lt;$C$40,BQ37=$C$40),$AI$41*BQ37,IF(AND(BQ37&gt;$C$40,BQ37&lt;$C$40+$C$41),$AI$41*BQ37-$C$46*(BQ37-$C$40)^2/2,$AI$42*($C$43-BQ37)))</f>
        <v>0</v>
      </c>
      <c r="CW43" s="11">
        <f>IF(OR(BR37&lt;$C$40,BR37=$C$40),$AI$41*BR37,IF(AND(BR37&gt;$C$40,BR37&lt;$C$40+$C$41),$AI$41*BR37-$C$46*(BR37-$C$40)^2/2,$AI$42*($C$43-BR37)))</f>
        <v>0</v>
      </c>
      <c r="DB43" s="12"/>
      <c r="DC43" s="13" t="s">
        <v>40</v>
      </c>
      <c r="DD43" s="11">
        <f>IF(AT37&lt;$C$43-$C$42,$AP$41*AT37,$AP$41*AT37-$C$48*(AT37-$C$40-$C$41)^2/2)</f>
        <v>0</v>
      </c>
      <c r="DE43" s="11">
        <f>IF(AU37&lt;$C$43-$C$42,$AP$41*AU37,$AP$41*AU37-$C$48*(AU37-$C$40-$C$41)^2/2)</f>
        <v>0</v>
      </c>
      <c r="DF43" s="11">
        <f>IF(AV37&lt;$C$43-$C$42,$AP$41*AV37,$AP$41*AV37-$C$48*(AV37-$C$40-$C$41)^2/2)</f>
        <v>0</v>
      </c>
      <c r="DG43" s="11">
        <f>IF(AW37&lt;$C$43-$C$42,$AP$41*AW37,$AP$41*AW37-$C$48*(AW37-$C$40-$C$41)^2/2)</f>
        <v>0</v>
      </c>
      <c r="DH43" s="11">
        <f>IF(AX37&lt;$C$43-$C$42,$AP$41*AX37,$AP$41*AX37-$C$48*(AX37-$C$40-$C$41)^2/2)</f>
        <v>0</v>
      </c>
      <c r="DI43" s="11">
        <f>IF(AY37&lt;$C$43-$C$42,$AP$41*AY37,$AP$41*AY37-$C$48*(AY37-$C$40-$C$41)^2/2)</f>
        <v>0</v>
      </c>
      <c r="DJ43" s="11">
        <f>IF(AZ37&lt;$C$43-$C$42,$AP$41*AZ37,$AP$41*AZ37-$C$48*(AZ37-$C$40-$C$41)^2/2)</f>
        <v>0</v>
      </c>
      <c r="DK43" s="11">
        <f>IF(BA37&lt;$C$43-$C$42,$AP$41*BA37,$AP$41*BA37-$C$48*(BA37-$C$40-$C$41)^2/2)</f>
        <v>0</v>
      </c>
      <c r="DL43" s="11">
        <f>IF(BB37&lt;$C$43-$C$42,$AP$41*BB37,$AP$41*BB37-$C$48*(BB37-$C$40-$C$41)^2/2)</f>
        <v>0</v>
      </c>
      <c r="DM43" s="11">
        <f>IF(BC37&lt;$C$43-$C$42,$AP$41*BC37,$AP$41*BC37-$C$48*(BC37-$C$40-$C$41)^2/2)</f>
        <v>0</v>
      </c>
      <c r="DN43" s="11">
        <f>IF(BD37&lt;$C$43-$C$42,$AP$41*BD37,$AP$41*BD37-$C$48*(BD37-$C$40-$C$41)^2/2)</f>
        <v>0</v>
      </c>
      <c r="DO43" s="11">
        <f>IF(BE37&lt;$C$43-$C$42,$AP$41*BE37,$AP$41*BE37-$C$48*(BE37-$C$40-$C$41)^2/2)</f>
        <v>0</v>
      </c>
      <c r="DP43" s="11">
        <f>IF(BF37&lt;$C$43-$C$42,$AP$41*BF37,$AP$41*BF37-$C$48*(BF37-$C$40-$C$41)^2/2)</f>
        <v>0</v>
      </c>
      <c r="DQ43" s="11">
        <f>IF(BG37&lt;$C$43-$C$42,$AP$41*BG37,$AP$41*BG37-$C$48*(BG37-$C$40-$C$41)^2/2)</f>
        <v>0</v>
      </c>
      <c r="DR43" s="11">
        <f>IF(BH37&lt;$C$43-$C$42,$AP$41*BH37,$AP$41*BH37-$C$48*(BH37-$C$40-$C$41)^2/2)</f>
        <v>0</v>
      </c>
      <c r="DS43" s="11">
        <f>IF(BI37&lt;$C$43-$C$42,$AP$41*BI37,$AP$41*BI37-$C$48*(BI37-$C$40-$C$41)^2/2)</f>
        <v>0</v>
      </c>
      <c r="DT43" s="11">
        <f>IF(BJ37&lt;$C$43-$C$42,$AP$41*BJ37,$AP$41*BJ37-$C$48*(BJ37-$C$40-$C$41)^2/2)</f>
        <v>0</v>
      </c>
      <c r="DU43" s="11">
        <f>IF(BK37&lt;$C$43-$C$42,$AP$41*BK37,$AP$41*BK37-$C$48*(BK37-$C$40-$C$41)^2/2)</f>
        <v>0</v>
      </c>
      <c r="DV43" s="11">
        <f>IF(BL37&lt;$C$43-$C$42,$AP$41*BL37,$AP$41*BL37-$C$48*(BL37-$C$40-$C$41)^2/2)</f>
        <v>0</v>
      </c>
      <c r="DW43" s="11">
        <f>IF(BM37&lt;$C$43-$C$42,$AP$41*BM37,$AP$41*BM37-$C$48*(BM37-$C$40-$C$41)^2/2)</f>
        <v>0</v>
      </c>
      <c r="DX43" s="11">
        <f>IF(BN37&lt;$C$43-$C$42,$AP$41*BN37,$AP$41*BN37-$C$48*(BN37-$C$40-$C$41)^2/2)</f>
        <v>0</v>
      </c>
      <c r="DY43" s="11">
        <f>IF(BO37&lt;$C$43-$C$42,$AP$41*BO37,$AP$41*BO37-$C$48*(BO37-$C$40-$C$41)^2/2)</f>
        <v>0</v>
      </c>
      <c r="DZ43" s="11">
        <f>IF(BP37&lt;$C$43-$C$42,$AP$41*BP37,$AP$41*BP37-$C$48*(BP37-$C$40-$C$41)^2/2)</f>
        <v>0</v>
      </c>
      <c r="EA43" s="11">
        <f>IF(BQ37&lt;$C$43-$C$42,$AP$41*BQ37,$AP$41*BQ37-$C$48*(BQ37-$C$40-$C$41)^2/2)</f>
        <v>0</v>
      </c>
      <c r="EB43" s="11">
        <f>IF(BR37&lt;$C$43-$C$42,$AP$41*BR37,$AP$41*BR37-$C$48*(BR37-$C$40-$C$41)^2/2)</f>
        <v>0</v>
      </c>
    </row>
    <row r="44" spans="1:132" ht="15.75" thickBot="1">
      <c r="B44" s="2" t="s">
        <v>34</v>
      </c>
      <c r="C44" s="1">
        <f>E8</f>
        <v>45</v>
      </c>
      <c r="D44" s="1" t="s">
        <v>35</v>
      </c>
      <c r="AB44" s="1">
        <f>AB43</f>
        <v>0.2</v>
      </c>
      <c r="AC44" s="1">
        <v>0</v>
      </c>
      <c r="AF44" s="1"/>
      <c r="AG44" s="1"/>
      <c r="AH44" s="2" t="s">
        <v>42</v>
      </c>
      <c r="AI44" s="1">
        <f>AI40+AI42</f>
        <v>3.4166666666666665</v>
      </c>
      <c r="AJ44" s="1"/>
      <c r="AK44" s="1"/>
      <c r="AL44" s="2" t="s">
        <v>42</v>
      </c>
      <c r="AM44" s="1">
        <f>AM40+AM42</f>
        <v>1.125</v>
      </c>
      <c r="AN44" s="1"/>
      <c r="AO44" s="1"/>
      <c r="AP44" s="1"/>
      <c r="AQ44" s="1"/>
      <c r="AR44" s="12"/>
      <c r="AS44" s="13" t="s">
        <v>43</v>
      </c>
      <c r="AT44" s="11">
        <f t="shared" ref="AT44:BQ44" si="6">SUM(AT42:AT43)</f>
        <v>0</v>
      </c>
      <c r="AU44" s="11">
        <f t="shared" si="6"/>
        <v>3.8671875000000001E-2</v>
      </c>
      <c r="AV44" s="11">
        <f t="shared" si="6"/>
        <v>7.03125E-2</v>
      </c>
      <c r="AW44" s="11">
        <f t="shared" si="6"/>
        <v>9.4921875000000017E-2</v>
      </c>
      <c r="AX44" s="11">
        <f t="shared" si="6"/>
        <v>0.1125</v>
      </c>
      <c r="AY44" s="11">
        <f t="shared" si="6"/>
        <v>0.123046875</v>
      </c>
      <c r="AZ44" s="11">
        <f t="shared" si="6"/>
        <v>0.12656250000000002</v>
      </c>
      <c r="BA44" s="11">
        <f t="shared" si="6"/>
        <v>0.123046875</v>
      </c>
      <c r="BB44" s="11">
        <f t="shared" si="6"/>
        <v>0.1125</v>
      </c>
      <c r="BC44" s="11">
        <f t="shared" si="6"/>
        <v>9.8437499999999997E-2</v>
      </c>
      <c r="BD44" s="11">
        <f t="shared" si="6"/>
        <v>8.4374999999999978E-2</v>
      </c>
      <c r="BE44" s="11">
        <f t="shared" si="6"/>
        <v>7.03125E-2</v>
      </c>
      <c r="BF44" s="11">
        <f t="shared" si="6"/>
        <v>5.6249999999999988E-2</v>
      </c>
      <c r="BG44" s="11">
        <f t="shared" si="6"/>
        <v>4.2187499999999975E-2</v>
      </c>
      <c r="BH44" s="11">
        <f t="shared" si="6"/>
        <v>2.8124999999999963E-2</v>
      </c>
      <c r="BI44" s="11">
        <f t="shared" si="6"/>
        <v>1.4062499999999981E-2</v>
      </c>
      <c r="BJ44" s="11">
        <f t="shared" si="6"/>
        <v>0</v>
      </c>
      <c r="BK44" s="11">
        <f t="shared" si="6"/>
        <v>0</v>
      </c>
      <c r="BL44" s="11">
        <f t="shared" si="6"/>
        <v>0</v>
      </c>
      <c r="BM44" s="11">
        <f t="shared" si="6"/>
        <v>0</v>
      </c>
      <c r="BN44" s="11">
        <f t="shared" si="6"/>
        <v>0</v>
      </c>
      <c r="BO44" s="11">
        <f t="shared" si="6"/>
        <v>0</v>
      </c>
      <c r="BP44" s="11">
        <f t="shared" si="6"/>
        <v>0</v>
      </c>
      <c r="BQ44" s="11">
        <f t="shared" si="6"/>
        <v>0</v>
      </c>
      <c r="BR44" s="14">
        <f>SUM(BR42:BR43)</f>
        <v>0</v>
      </c>
      <c r="BS44" s="11"/>
      <c r="BT44" s="11"/>
      <c r="BU44" s="11"/>
      <c r="BV44" s="11"/>
      <c r="BW44" s="18"/>
      <c r="BX44" s="19" t="s">
        <v>44</v>
      </c>
      <c r="BY44" s="20">
        <f t="shared" ref="BY44:CW44" si="7">SUM(BY42:BY43)</f>
        <v>0</v>
      </c>
      <c r="BZ44" s="20">
        <f t="shared" si="7"/>
        <v>1.4166666666666668E-2</v>
      </c>
      <c r="CA44" s="20">
        <f t="shared" si="7"/>
        <v>2.8333333333333335E-2</v>
      </c>
      <c r="CB44" s="20">
        <f t="shared" si="7"/>
        <v>4.2500000000000003E-2</v>
      </c>
      <c r="CC44" s="20">
        <f t="shared" si="7"/>
        <v>5.6666666666666671E-2</v>
      </c>
      <c r="CD44" s="20">
        <f t="shared" si="7"/>
        <v>7.0833333333333331E-2</v>
      </c>
      <c r="CE44" s="20">
        <f t="shared" si="7"/>
        <v>8.5000000000000006E-2</v>
      </c>
      <c r="CF44" s="20">
        <f t="shared" si="7"/>
        <v>9.9166666666666681E-2</v>
      </c>
      <c r="CG44" s="20">
        <f t="shared" si="7"/>
        <v>0.11333333333333334</v>
      </c>
      <c r="CH44" s="20">
        <f t="shared" si="7"/>
        <v>0.12398111979166668</v>
      </c>
      <c r="CI44" s="20">
        <f t="shared" si="7"/>
        <v>0.12757812499999999</v>
      </c>
      <c r="CJ44" s="20">
        <f t="shared" si="7"/>
        <v>0.12410481770833333</v>
      </c>
      <c r="CK44" s="20">
        <f t="shared" si="7"/>
        <v>0.11354166666666662</v>
      </c>
      <c r="CL44" s="20">
        <f t="shared" si="7"/>
        <v>9.586914062499996E-2</v>
      </c>
      <c r="CM44" s="20">
        <f t="shared" si="7"/>
        <v>7.1067708333333243E-2</v>
      </c>
      <c r="CN44" s="20">
        <f t="shared" si="7"/>
        <v>3.9117838541666602E-2</v>
      </c>
      <c r="CO44" s="20">
        <f t="shared" si="7"/>
        <v>0</v>
      </c>
      <c r="CP44" s="20">
        <f t="shared" si="7"/>
        <v>0</v>
      </c>
      <c r="CQ44" s="20">
        <f t="shared" si="7"/>
        <v>0</v>
      </c>
      <c r="CR44" s="20">
        <f t="shared" si="7"/>
        <v>0</v>
      </c>
      <c r="CS44" s="20">
        <f t="shared" si="7"/>
        <v>0</v>
      </c>
      <c r="CT44" s="20">
        <f t="shared" si="7"/>
        <v>0</v>
      </c>
      <c r="CU44" s="20">
        <f t="shared" si="7"/>
        <v>0</v>
      </c>
      <c r="CV44" s="20">
        <f t="shared" si="7"/>
        <v>0</v>
      </c>
      <c r="CW44" s="21">
        <f t="shared" si="7"/>
        <v>0</v>
      </c>
      <c r="DB44" s="18"/>
      <c r="DC44" s="19" t="s">
        <v>45</v>
      </c>
      <c r="DD44" s="20">
        <f t="shared" ref="DD44:EB44" si="8">SUM(DD42:DD43)</f>
        <v>0</v>
      </c>
      <c r="DE44" s="20">
        <f t="shared" si="8"/>
        <v>0</v>
      </c>
      <c r="DF44" s="20">
        <f t="shared" si="8"/>
        <v>0</v>
      </c>
      <c r="DG44" s="20">
        <f t="shared" si="8"/>
        <v>0</v>
      </c>
      <c r="DH44" s="20">
        <f t="shared" si="8"/>
        <v>0</v>
      </c>
      <c r="DI44" s="20">
        <f t="shared" si="8"/>
        <v>0</v>
      </c>
      <c r="DJ44" s="20">
        <f t="shared" si="8"/>
        <v>0</v>
      </c>
      <c r="DK44" s="20">
        <f t="shared" si="8"/>
        <v>0</v>
      </c>
      <c r="DL44" s="20">
        <f t="shared" si="8"/>
        <v>0</v>
      </c>
      <c r="DM44" s="20">
        <f t="shared" si="8"/>
        <v>0</v>
      </c>
      <c r="DN44" s="20">
        <f t="shared" si="8"/>
        <v>0</v>
      </c>
      <c r="DO44" s="20">
        <f t="shared" si="8"/>
        <v>0</v>
      </c>
      <c r="DP44" s="20">
        <f t="shared" si="8"/>
        <v>0</v>
      </c>
      <c r="DQ44" s="20">
        <f t="shared" si="8"/>
        <v>0</v>
      </c>
      <c r="DR44" s="20">
        <f t="shared" si="8"/>
        <v>0</v>
      </c>
      <c r="DS44" s="20">
        <f t="shared" si="8"/>
        <v>0</v>
      </c>
      <c r="DT44" s="20">
        <f t="shared" si="8"/>
        <v>0</v>
      </c>
      <c r="DU44" s="20">
        <f t="shared" si="8"/>
        <v>0</v>
      </c>
      <c r="DV44" s="20">
        <f t="shared" si="8"/>
        <v>0</v>
      </c>
      <c r="DW44" s="20">
        <f t="shared" si="8"/>
        <v>0</v>
      </c>
      <c r="DX44" s="20">
        <f t="shared" si="8"/>
        <v>0</v>
      </c>
      <c r="DY44" s="20">
        <f t="shared" si="8"/>
        <v>0</v>
      </c>
      <c r="DZ44" s="20">
        <f t="shared" si="8"/>
        <v>0</v>
      </c>
      <c r="EA44" s="20">
        <f t="shared" si="8"/>
        <v>0</v>
      </c>
      <c r="EB44" s="21">
        <f t="shared" si="8"/>
        <v>0</v>
      </c>
    </row>
    <row r="45" spans="1:132" ht="15.75" thickBot="1">
      <c r="B45" s="2" t="s">
        <v>38</v>
      </c>
      <c r="C45" s="1">
        <f>H8</f>
        <v>45</v>
      </c>
      <c r="D45" s="1" t="s">
        <v>35</v>
      </c>
      <c r="AF45" s="1"/>
      <c r="AG45" s="1"/>
      <c r="AH45" s="2" t="s">
        <v>47</v>
      </c>
      <c r="AI45" s="1">
        <v>24</v>
      </c>
      <c r="AJ45" s="1"/>
      <c r="AK45" s="1"/>
      <c r="AL45" s="1"/>
      <c r="AM45" s="1"/>
      <c r="AN45" s="1"/>
      <c r="AO45" s="1"/>
      <c r="AP45" s="1"/>
      <c r="AQ45" s="1"/>
      <c r="AR45" s="18"/>
      <c r="AS45" s="19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1"/>
      <c r="BS45" s="11"/>
      <c r="BT45" s="11"/>
      <c r="BU45" s="11"/>
      <c r="BV45" s="11"/>
    </row>
    <row r="46" spans="1:132" ht="18">
      <c r="B46" s="2" t="s">
        <v>41</v>
      </c>
      <c r="C46" s="1">
        <f>E9</f>
        <v>45</v>
      </c>
      <c r="D46" s="1" t="s">
        <v>35</v>
      </c>
      <c r="AF46" s="1"/>
      <c r="AG46" s="1"/>
      <c r="AH46" s="2" t="s">
        <v>49</v>
      </c>
      <c r="AI46" s="1">
        <f>C40/(AI45/3)</f>
        <v>1.2500000000000001E-2</v>
      </c>
      <c r="AJ46" s="1"/>
      <c r="AK46" s="1" t="s">
        <v>50</v>
      </c>
      <c r="AL46" s="1">
        <f>C41/(AI45/3)</f>
        <v>1.2500000000000001E-2</v>
      </c>
      <c r="AM46" s="1"/>
      <c r="AN46" s="1" t="s">
        <v>51</v>
      </c>
      <c r="AO46" s="1">
        <f>C42/(AI45/3)</f>
        <v>0</v>
      </c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</row>
    <row r="47" spans="1:132">
      <c r="B47" s="2" t="s">
        <v>46</v>
      </c>
      <c r="C47" s="1">
        <f>H9</f>
        <v>46</v>
      </c>
      <c r="D47" s="1" t="s">
        <v>35</v>
      </c>
      <c r="AF47" s="1"/>
      <c r="AH47" s="2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</row>
    <row r="48" spans="1:132">
      <c r="B48" s="2" t="s">
        <v>48</v>
      </c>
      <c r="C48" s="1">
        <f>E10</f>
        <v>0</v>
      </c>
      <c r="D48" s="1" t="s">
        <v>35</v>
      </c>
      <c r="AF48" s="1"/>
      <c r="BH48" s="1"/>
    </row>
    <row r="49" spans="1:60">
      <c r="B49" s="2" t="s">
        <v>52</v>
      </c>
      <c r="C49" s="1">
        <f>H10</f>
        <v>0</v>
      </c>
      <c r="D49" s="1" t="s">
        <v>35</v>
      </c>
      <c r="AF49" s="1"/>
      <c r="BH49" s="1"/>
    </row>
    <row r="50" spans="1:60">
      <c r="B50" s="2" t="str">
        <f>AS37</f>
        <v>x</v>
      </c>
      <c r="C50" s="2">
        <f>-AT37</f>
        <v>0</v>
      </c>
      <c r="D50" s="2">
        <f>-AU37</f>
        <v>-1.2500000000000001E-2</v>
      </c>
      <c r="E50" s="2">
        <f>-AV37</f>
        <v>-2.5000000000000001E-2</v>
      </c>
      <c r="F50" s="2">
        <f>-AW37</f>
        <v>-3.7500000000000006E-2</v>
      </c>
      <c r="G50" s="2">
        <f>-AX37</f>
        <v>-0.05</v>
      </c>
      <c r="H50" s="2">
        <f>-AY37</f>
        <v>-6.25E-2</v>
      </c>
      <c r="I50" s="2">
        <f>-AZ37</f>
        <v>-7.5000000000000011E-2</v>
      </c>
      <c r="J50" s="2">
        <f>-BA37</f>
        <v>-8.7500000000000008E-2</v>
      </c>
      <c r="K50" s="2">
        <f>-BB37</f>
        <v>-0.1</v>
      </c>
      <c r="L50" s="2">
        <f>-BC37</f>
        <v>-0.11250000000000002</v>
      </c>
      <c r="M50" s="2">
        <f>-BD37</f>
        <v>-0.12500000000000003</v>
      </c>
      <c r="N50" s="2">
        <f>-BE37</f>
        <v>-0.13750000000000001</v>
      </c>
      <c r="O50" s="2">
        <f>-BF37</f>
        <v>-0.15000000000000002</v>
      </c>
      <c r="P50" s="2">
        <f>-BG37</f>
        <v>-0.16250000000000003</v>
      </c>
      <c r="Q50" s="2">
        <f>-BH37</f>
        <v>-0.17500000000000004</v>
      </c>
      <c r="R50" s="2">
        <f>-BI37</f>
        <v>-0.18750000000000003</v>
      </c>
      <c r="S50" s="2">
        <f>-BJ37</f>
        <v>-0.2</v>
      </c>
      <c r="T50" s="2">
        <f>-BK37</f>
        <v>-0.2</v>
      </c>
      <c r="U50" s="2">
        <f>-BL37</f>
        <v>-0.2</v>
      </c>
      <c r="V50" s="2">
        <f>-BM37</f>
        <v>-0.2</v>
      </c>
      <c r="W50" s="2">
        <f>-BN37</f>
        <v>-0.2</v>
      </c>
      <c r="X50" s="2">
        <f>-BO37</f>
        <v>-0.2</v>
      </c>
      <c r="Y50" s="2">
        <f>-BP37</f>
        <v>-0.2</v>
      </c>
      <c r="Z50" s="2">
        <f>-BQ37</f>
        <v>-0.2</v>
      </c>
      <c r="AA50" s="2">
        <f t="shared" ref="AA50" si="9">-BR37</f>
        <v>-0.2</v>
      </c>
      <c r="AB50" s="1">
        <f>AA50</f>
        <v>-0.2</v>
      </c>
      <c r="AF50" s="1"/>
      <c r="BH50" s="1"/>
    </row>
    <row r="51" spans="1:60">
      <c r="B51" s="2" t="s">
        <v>53</v>
      </c>
      <c r="C51" s="1">
        <f>-(AT44+BY44+DD44)</f>
        <v>0</v>
      </c>
      <c r="D51" s="1">
        <f>-(AU44+BZ44+DE44)</f>
        <v>-5.2838541666666669E-2</v>
      </c>
      <c r="E51" s="1">
        <f>-(AV44+CA44+DF44)</f>
        <v>-9.8645833333333335E-2</v>
      </c>
      <c r="F51" s="1">
        <f>-(AW44+CB44+DG44)</f>
        <v>-0.13742187500000003</v>
      </c>
      <c r="G51" s="1">
        <f>-(AX44+CC44+DH44)</f>
        <v>-0.16916666666666669</v>
      </c>
      <c r="H51" s="1">
        <f>-(AY44+CD44+DI44)</f>
        <v>-0.19388020833333333</v>
      </c>
      <c r="I51" s="1">
        <f>-(AZ44+CE44+DJ44)</f>
        <v>-0.21156250000000004</v>
      </c>
      <c r="J51" s="1">
        <f>-(BA44+CF44+DK44)</f>
        <v>-0.22221354166666668</v>
      </c>
      <c r="K51" s="1">
        <f>-(BB44+CG44+DL44)</f>
        <v>-0.22583333333333333</v>
      </c>
      <c r="L51" s="1">
        <f>-(BC44+CH44+DM44)</f>
        <v>-0.22241861979166666</v>
      </c>
      <c r="M51" s="1">
        <f>-(BD44+CI44+DN44)</f>
        <v>-0.21195312499999996</v>
      </c>
      <c r="N51" s="1">
        <f>-(BE44+CJ44+DO44)</f>
        <v>-0.19441731770833331</v>
      </c>
      <c r="O51" s="1">
        <f>-(BF44+CK44+DP44)</f>
        <v>-0.16979166666666662</v>
      </c>
      <c r="P51" s="1">
        <f>-(BG44+CL44+DQ44)</f>
        <v>-0.13805664062499995</v>
      </c>
      <c r="Q51" s="1">
        <f>-(BH44+CM44+DR44)</f>
        <v>-9.9192708333333213E-2</v>
      </c>
      <c r="R51" s="1">
        <f>-(BI44+CN44+DS44)</f>
        <v>-5.318033854166658E-2</v>
      </c>
      <c r="S51" s="1">
        <f>-(BJ44+CO44+DT44)</f>
        <v>0</v>
      </c>
      <c r="T51" s="1">
        <f>-(BK44+CP44+DU44)</f>
        <v>0</v>
      </c>
      <c r="U51" s="1">
        <f>-(BL44+CQ44+DV44)</f>
        <v>0</v>
      </c>
      <c r="V51" s="1">
        <f>-(BM44+CR44+DW44)</f>
        <v>0</v>
      </c>
      <c r="W51" s="1">
        <f>-(BN44+CS44+DX44)</f>
        <v>0</v>
      </c>
      <c r="X51" s="1">
        <f>-(BO44+CT44+DY44)</f>
        <v>0</v>
      </c>
      <c r="Y51" s="1">
        <f>-(BP44+CU44+DZ44)</f>
        <v>0</v>
      </c>
      <c r="Z51" s="1">
        <f>-(BQ44+CV44+EA44)</f>
        <v>0</v>
      </c>
      <c r="AA51" s="1">
        <f t="shared" ref="AA51" si="10">-(BR44+CW44+EB44)</f>
        <v>0</v>
      </c>
      <c r="AF51" s="1"/>
      <c r="BH51" s="1"/>
    </row>
    <row r="52" spans="1:60">
      <c r="B52" s="2" t="s">
        <v>33</v>
      </c>
      <c r="C52" s="1">
        <f>-(AT41+BY41+DD41)</f>
        <v>4.5083333333333329</v>
      </c>
      <c r="D52" s="1">
        <f>-(AU41+BZ41+DE41)</f>
        <v>3.9458333333333333</v>
      </c>
      <c r="E52" s="1">
        <f>-(AV41+CA41+DF41)</f>
        <v>3.3833333333333333</v>
      </c>
      <c r="F52" s="1">
        <f>-(AW41+CB41+DG41)</f>
        <v>2.8208333333333329</v>
      </c>
      <c r="G52" s="1">
        <f>-(AX41+CC41+DH41)</f>
        <v>2.2583333333333333</v>
      </c>
      <c r="H52" s="1">
        <f>-(AY41+CD41+DI41)</f>
        <v>1.6958333333333333</v>
      </c>
      <c r="I52" s="1">
        <f>-(AZ41+CE41+DJ41)</f>
        <v>1.1333333333333329</v>
      </c>
      <c r="J52" s="1">
        <f>-(BA41+CF41+DK41)</f>
        <v>0.57083333333333286</v>
      </c>
      <c r="K52" s="1">
        <f>-(BB41+CG41+DL41)</f>
        <v>8.3333333333333037E-3</v>
      </c>
      <c r="L52" s="1">
        <f>-(BC41+CH41+DM41)</f>
        <v>-0.5549479166666671</v>
      </c>
      <c r="M52" s="1">
        <f>-(BD41+CI41+DN41)</f>
        <v>-1.1197916666666676</v>
      </c>
      <c r="N52" s="1">
        <f>-(BE41+CJ41+DO41)</f>
        <v>-1.686197916666667</v>
      </c>
      <c r="O52" s="1">
        <f>-(BF41+CK41+DP41)</f>
        <v>-2.2541666666666673</v>
      </c>
      <c r="P52" s="1">
        <f>-(BG41+CL41+DQ41)</f>
        <v>-2.823697916666668</v>
      </c>
      <c r="Q52" s="1">
        <f>-(BH41+CM41+DR41)</f>
        <v>-3.3947916666666687</v>
      </c>
      <c r="R52" s="1">
        <f>-(BI41+CN41+DS41)</f>
        <v>-3.9674479166666674</v>
      </c>
      <c r="S52" s="1">
        <f>-(BJ41+CO41+DT41)</f>
        <v>-4.5416666666666661</v>
      </c>
      <c r="T52" s="1">
        <f>-(BK41+CP41+DU41)</f>
        <v>-4.5416666666666661</v>
      </c>
      <c r="U52" s="1">
        <f>-(BL41+CQ41+DV41)</f>
        <v>-4.5416666666666661</v>
      </c>
      <c r="V52" s="1">
        <f>-(BM41+CR41+DW41)</f>
        <v>-4.5416666666666661</v>
      </c>
      <c r="W52" s="1">
        <f>-(BN41+CS41+DX41)</f>
        <v>-4.5416666666666661</v>
      </c>
      <c r="X52" s="1">
        <f>-(BO41+CT41+DY41)</f>
        <v>-4.5416666666666661</v>
      </c>
      <c r="Y52" s="1">
        <f>-(BP41+CU41+DZ41)</f>
        <v>-4.5416666666666661</v>
      </c>
      <c r="Z52" s="1">
        <f>-(BQ41+CV41+EA41)</f>
        <v>-4.5416666666666661</v>
      </c>
      <c r="AA52" s="1">
        <f t="shared" ref="AA52" si="11">-(BR41+CW41+EB41)</f>
        <v>-4.5416666666666661</v>
      </c>
      <c r="AB52">
        <v>0</v>
      </c>
    </row>
    <row r="53" spans="1:60">
      <c r="C53" s="1">
        <v>0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>
        <v>0</v>
      </c>
    </row>
    <row r="54" spans="1:60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F54" s="1"/>
      <c r="BH54" s="1"/>
    </row>
    <row r="55" spans="1:60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7" spans="1:60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60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60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60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60">
      <c r="A61"/>
      <c r="B61"/>
      <c r="C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60">
      <c r="A62"/>
      <c r="B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60">
      <c r="A63"/>
      <c r="B63" s="1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60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</sheetData>
  <pageMargins left="0.7" right="0.7" top="0.75" bottom="0.75" header="0.3" footer="0.3"/>
  <pageSetup paperSize="9"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cant-pin-pin</vt:lpstr>
    </vt:vector>
  </TitlesOfParts>
  <Company>BLACK EDITION - tum0r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Demetra</dc:creator>
  <cp:lastModifiedBy>Demetra</cp:lastModifiedBy>
  <dcterms:created xsi:type="dcterms:W3CDTF">2012-07-30T06:49:07Z</dcterms:created>
  <dcterms:modified xsi:type="dcterms:W3CDTF">2012-07-30T12:54:38Z</dcterms:modified>
</cp:coreProperties>
</file>